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T:\DSS Monthly Agency Report\Management Report\DSS Board Reports\"/>
    </mc:Choice>
  </mc:AlternateContent>
  <xr:revisionPtr revIDLastSave="0" documentId="13_ncr:1_{AA25F9D8-3385-4CD0-93B4-602672C4E06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Y25" sheetId="15" r:id="rId1"/>
    <sheet name="FY23" sheetId="16" r:id="rId2"/>
    <sheet name="FY 22" sheetId="14" r:id="rId3"/>
    <sheet name="FY 21" sheetId="12" r:id="rId4"/>
    <sheet name="FY 20" sheetId="10" r:id="rId5"/>
    <sheet name="FY 19" sheetId="9" r:id="rId6"/>
    <sheet name="FY 18" sheetId="8" r:id="rId7"/>
    <sheet name="FY 17" sheetId="6" r:id="rId8"/>
    <sheet name="FY 17 Trend Lines" sheetId="7" r:id="rId9"/>
    <sheet name="FY 16" sheetId="2" r:id="rId10"/>
    <sheet name="FY 15" sheetId="5" r:id="rId11"/>
    <sheet name="FY 14" sheetId="1" r:id="rId12"/>
    <sheet name="Blank" sheetId="4" r:id="rId13"/>
    <sheet name="Guide" sheetId="3" r:id="rId14"/>
  </sheets>
  <definedNames>
    <definedName name="_xlnm.Print_Area" localSheetId="12">Blank!$B$1:$Q$145</definedName>
    <definedName name="_xlnm.Print_Area" localSheetId="11">'FY 14'!$B$1:$Q$145</definedName>
    <definedName name="_xlnm.Print_Area" localSheetId="7">'FY 17'!$A$1:$Q$179</definedName>
    <definedName name="_xlnm.Print_Area" localSheetId="6">'FY 18'!$A$1:$Q$178</definedName>
    <definedName name="_xlnm.Print_Titles" localSheetId="12">Blank!$1:$2</definedName>
    <definedName name="_xlnm.Print_Titles" localSheetId="11">'FY 14'!$1:$2</definedName>
    <definedName name="_xlnm.Print_Titles" localSheetId="9">'FY 16'!$1:$2</definedName>
    <definedName name="_xlnm.Print_Titles" localSheetId="7">'FY 17'!$1:$4</definedName>
    <definedName name="_xlnm.Print_Titles" localSheetId="6">'FY 18'!$1:$2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3" i="15" l="1"/>
  <c r="N163" i="15"/>
  <c r="N176" i="15"/>
  <c r="N150" i="15"/>
  <c r="N133" i="15" l="1"/>
  <c r="N68" i="15"/>
  <c r="M176" i="15" l="1"/>
  <c r="M150" i="15"/>
  <c r="M133" i="15" l="1"/>
  <c r="H58" i="15"/>
  <c r="H59" i="15"/>
  <c r="H60" i="15"/>
  <c r="H61" i="15"/>
  <c r="H63" i="15"/>
  <c r="H62" i="15"/>
  <c r="L176" i="15"/>
  <c r="L163" i="15"/>
  <c r="K150" i="15"/>
  <c r="L150" i="15"/>
  <c r="L133" i="15" l="1"/>
  <c r="L68" i="15"/>
  <c r="L69" i="15"/>
  <c r="L67" i="15"/>
  <c r="K176" i="15" l="1"/>
  <c r="K163" i="15"/>
  <c r="K133" i="15"/>
  <c r="K69" i="15" l="1"/>
  <c r="K68" i="15"/>
  <c r="J150" i="15" l="1"/>
  <c r="J69" i="15" l="1"/>
  <c r="J176" i="15"/>
  <c r="J133" i="15"/>
  <c r="J163" i="15"/>
  <c r="H81" i="15"/>
  <c r="H80" i="15"/>
  <c r="H79" i="15"/>
  <c r="I163" i="15" l="1"/>
  <c r="I176" i="15"/>
  <c r="H152" i="15" l="1"/>
  <c r="H153" i="15"/>
  <c r="H154" i="15"/>
  <c r="H155" i="15"/>
  <c r="H156" i="15"/>
  <c r="G75" i="15" l="1"/>
  <c r="I69" i="15" l="1"/>
  <c r="I67" i="15"/>
  <c r="I133" i="15"/>
  <c r="H6" i="15" l="1"/>
  <c r="H173" i="15" l="1"/>
  <c r="H151" i="15"/>
  <c r="G6" i="16"/>
  <c r="G7" i="16"/>
  <c r="G8" i="16"/>
  <c r="G9" i="16"/>
  <c r="G10" i="16"/>
  <c r="G11" i="16"/>
  <c r="G12" i="16"/>
  <c r="G25" i="16"/>
  <c r="G26" i="16"/>
  <c r="G27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5" i="16"/>
  <c r="G46" i="16"/>
  <c r="G47" i="16"/>
  <c r="G50" i="16"/>
  <c r="G51" i="16"/>
  <c r="G53" i="16"/>
  <c r="G54" i="16"/>
  <c r="G55" i="16"/>
  <c r="G56" i="16"/>
  <c r="G58" i="16"/>
  <c r="G59" i="16"/>
  <c r="G60" i="16"/>
  <c r="G61" i="16"/>
  <c r="G62" i="16"/>
  <c r="G63" i="16"/>
  <c r="G65" i="16"/>
  <c r="G66" i="16"/>
  <c r="G67" i="16"/>
  <c r="H67" i="16"/>
  <c r="K67" i="16"/>
  <c r="N67" i="16"/>
  <c r="Q67" i="16"/>
  <c r="G68" i="16"/>
  <c r="H69" i="16"/>
  <c r="G69" i="16" s="1"/>
  <c r="I69" i="16"/>
  <c r="J69" i="16"/>
  <c r="L69" i="16"/>
  <c r="M69" i="16"/>
  <c r="N69" i="16"/>
  <c r="O69" i="16"/>
  <c r="P69" i="16"/>
  <c r="Q69" i="16"/>
  <c r="R69" i="16"/>
  <c r="S69" i="16"/>
  <c r="G70" i="16"/>
  <c r="G71" i="16"/>
  <c r="G72" i="16"/>
  <c r="G73" i="16"/>
  <c r="G74" i="16"/>
  <c r="G75" i="16"/>
  <c r="G76" i="16"/>
  <c r="G79" i="16"/>
  <c r="G80" i="16"/>
  <c r="G81" i="16"/>
  <c r="G85" i="16"/>
  <c r="G89" i="16"/>
  <c r="G90" i="16"/>
  <c r="G91" i="16"/>
  <c r="G93" i="16"/>
  <c r="G94" i="16"/>
  <c r="G95" i="16"/>
  <c r="G99" i="16"/>
  <c r="G100" i="16"/>
  <c r="G101" i="16"/>
  <c r="G108" i="16"/>
  <c r="G109" i="16"/>
  <c r="G110" i="16"/>
  <c r="G111" i="16"/>
  <c r="G112" i="16"/>
  <c r="G113" i="16"/>
  <c r="G114" i="16"/>
  <c r="G115" i="16"/>
  <c r="G116" i="16"/>
  <c r="G119" i="16"/>
  <c r="G120" i="16"/>
  <c r="G121" i="16"/>
  <c r="G122" i="16"/>
  <c r="G123" i="16"/>
  <c r="G125" i="16"/>
  <c r="G126" i="16"/>
  <c r="G127" i="16"/>
  <c r="G128" i="16"/>
  <c r="G130" i="16"/>
  <c r="G131" i="16"/>
  <c r="G132" i="16"/>
  <c r="H133" i="16"/>
  <c r="G133" i="16" s="1"/>
  <c r="I133" i="16"/>
  <c r="J133" i="16"/>
  <c r="K133" i="16"/>
  <c r="L133" i="16"/>
  <c r="M133" i="16"/>
  <c r="N133" i="16"/>
  <c r="O133" i="16"/>
  <c r="P133" i="16"/>
  <c r="Q133" i="16"/>
  <c r="R133" i="16"/>
  <c r="S133" i="16"/>
  <c r="G134" i="16"/>
  <c r="G138" i="16"/>
  <c r="G139" i="16"/>
  <c r="G140" i="16"/>
  <c r="G141" i="16"/>
  <c r="G143" i="16"/>
  <c r="G144" i="16"/>
  <c r="G145" i="16"/>
  <c r="G147" i="16"/>
  <c r="I150" i="16"/>
  <c r="J150" i="16"/>
  <c r="K150" i="16"/>
  <c r="G151" i="16"/>
  <c r="G152" i="16"/>
  <c r="G153" i="16"/>
  <c r="G154" i="16"/>
  <c r="G150" i="16" s="1"/>
  <c r="G155" i="16"/>
  <c r="G156" i="16"/>
  <c r="G158" i="16"/>
  <c r="G159" i="16"/>
  <c r="G160" i="16"/>
  <c r="G161" i="16"/>
  <c r="P161" i="16"/>
  <c r="G162" i="16"/>
  <c r="P163" i="16"/>
  <c r="G163" i="16" s="1"/>
  <c r="Q163" i="16"/>
  <c r="G165" i="16"/>
  <c r="G166" i="16"/>
  <c r="G167" i="16"/>
  <c r="G168" i="16"/>
  <c r="G169" i="16"/>
  <c r="G170" i="16"/>
  <c r="G171" i="16"/>
  <c r="G173" i="16"/>
  <c r="H176" i="16"/>
  <c r="I176" i="16"/>
  <c r="J176" i="16"/>
  <c r="K176" i="16"/>
  <c r="L176" i="16"/>
  <c r="M176" i="16"/>
  <c r="N176" i="16"/>
  <c r="O176" i="16"/>
  <c r="P176" i="16"/>
  <c r="Q176" i="16"/>
  <c r="R176" i="16"/>
  <c r="S176" i="16"/>
  <c r="G181" i="16"/>
  <c r="G182" i="16"/>
  <c r="G183" i="16"/>
  <c r="H183" i="16"/>
  <c r="I183" i="16"/>
  <c r="J183" i="16"/>
  <c r="K183" i="16"/>
  <c r="L183" i="16"/>
  <c r="M183" i="16"/>
  <c r="N183" i="16"/>
  <c r="O183" i="16"/>
  <c r="P183" i="16"/>
  <c r="Q183" i="16"/>
  <c r="R183" i="16"/>
  <c r="S183" i="16"/>
  <c r="G186" i="16"/>
  <c r="G187" i="16"/>
  <c r="G188" i="16" s="1"/>
  <c r="J188" i="16"/>
  <c r="K188" i="16"/>
  <c r="L188" i="16"/>
  <c r="M188" i="16"/>
  <c r="N188" i="16"/>
  <c r="O188" i="16"/>
  <c r="P188" i="16"/>
  <c r="Q188" i="16"/>
  <c r="R188" i="16"/>
  <c r="S188" i="16"/>
  <c r="G191" i="16"/>
  <c r="G193" i="16" s="1"/>
  <c r="G192" i="16"/>
  <c r="H193" i="16"/>
  <c r="I193" i="16"/>
  <c r="J193" i="16"/>
  <c r="K193" i="16"/>
  <c r="L193" i="16"/>
  <c r="M193" i="16"/>
  <c r="N193" i="16"/>
  <c r="O193" i="16"/>
  <c r="P193" i="16"/>
  <c r="Q193" i="16"/>
  <c r="R193" i="16"/>
  <c r="S193" i="16"/>
  <c r="G197" i="16"/>
  <c r="G199" i="16" s="1"/>
  <c r="G198" i="16"/>
  <c r="H199" i="16"/>
  <c r="I199" i="16"/>
  <c r="J199" i="16"/>
  <c r="K199" i="16"/>
  <c r="L199" i="16"/>
  <c r="M199" i="16"/>
  <c r="N199" i="16"/>
  <c r="O199" i="16"/>
  <c r="P199" i="16"/>
  <c r="Q199" i="16"/>
  <c r="R199" i="16"/>
  <c r="S199" i="16"/>
  <c r="G202" i="16"/>
  <c r="G204" i="16" s="1"/>
  <c r="G203" i="16"/>
  <c r="H204" i="16"/>
  <c r="I204" i="16"/>
  <c r="J204" i="16"/>
  <c r="K204" i="16"/>
  <c r="L204" i="16"/>
  <c r="M204" i="16"/>
  <c r="N204" i="16"/>
  <c r="O204" i="16"/>
  <c r="P204" i="16"/>
  <c r="Q204" i="16"/>
  <c r="R204" i="16"/>
  <c r="S204" i="16"/>
  <c r="G208" i="16"/>
  <c r="G210" i="16" s="1"/>
  <c r="G209" i="16"/>
  <c r="H210" i="16"/>
  <c r="I210" i="16"/>
  <c r="J210" i="16"/>
  <c r="K210" i="16"/>
  <c r="L210" i="16"/>
  <c r="M210" i="16"/>
  <c r="N210" i="16"/>
  <c r="O210" i="16"/>
  <c r="P210" i="16"/>
  <c r="Q210" i="16"/>
  <c r="R210" i="16"/>
  <c r="S210" i="16"/>
  <c r="G213" i="16"/>
  <c r="G214" i="16"/>
  <c r="G215" i="16"/>
  <c r="H215" i="16"/>
  <c r="I215" i="16"/>
  <c r="J215" i="16"/>
  <c r="K215" i="16"/>
  <c r="L215" i="16"/>
  <c r="M215" i="16"/>
  <c r="N215" i="16"/>
  <c r="O215" i="16"/>
  <c r="P215" i="16"/>
  <c r="Q215" i="16"/>
  <c r="R215" i="16"/>
  <c r="S215" i="16"/>
  <c r="G218" i="16"/>
  <c r="G219" i="16"/>
  <c r="G220" i="16"/>
  <c r="H220" i="16"/>
  <c r="I220" i="16"/>
  <c r="J220" i="16"/>
  <c r="K220" i="16"/>
  <c r="L220" i="16"/>
  <c r="M220" i="16"/>
  <c r="N220" i="16"/>
  <c r="O220" i="16"/>
  <c r="P220" i="16"/>
  <c r="Q220" i="16"/>
  <c r="R220" i="16"/>
  <c r="S220" i="16"/>
  <c r="G223" i="16"/>
  <c r="G224" i="16"/>
  <c r="G225" i="16"/>
  <c r="H225" i="16"/>
  <c r="I225" i="16"/>
  <c r="J225" i="16"/>
  <c r="K225" i="16"/>
  <c r="L225" i="16"/>
  <c r="M225" i="16"/>
  <c r="N225" i="16"/>
  <c r="O225" i="16"/>
  <c r="P225" i="16"/>
  <c r="Q225" i="16"/>
  <c r="R225" i="16"/>
  <c r="S225" i="16"/>
  <c r="G228" i="16"/>
  <c r="G230" i="16" s="1"/>
  <c r="G229" i="16"/>
  <c r="H230" i="16"/>
  <c r="I230" i="16"/>
  <c r="J230" i="16"/>
  <c r="K230" i="16"/>
  <c r="L230" i="16"/>
  <c r="M230" i="16"/>
  <c r="N230" i="16"/>
  <c r="O230" i="16"/>
  <c r="P230" i="16"/>
  <c r="Q230" i="16"/>
  <c r="R230" i="16"/>
  <c r="S230" i="16"/>
  <c r="G233" i="16"/>
  <c r="G235" i="16" s="1"/>
  <c r="G234" i="16"/>
  <c r="H235" i="16"/>
  <c r="I235" i="16"/>
  <c r="J235" i="16"/>
  <c r="K235" i="16"/>
  <c r="L235" i="16"/>
  <c r="M235" i="16"/>
  <c r="N235" i="16"/>
  <c r="O235" i="16"/>
  <c r="P235" i="16"/>
  <c r="Q235" i="16"/>
  <c r="R235" i="16"/>
  <c r="S235" i="16"/>
  <c r="H66" i="15" l="1"/>
  <c r="H70" i="15"/>
  <c r="H71" i="15"/>
  <c r="H72" i="15"/>
  <c r="H73" i="15"/>
  <c r="H74" i="15"/>
  <c r="H75" i="15"/>
  <c r="H65" i="15"/>
  <c r="H69" i="15"/>
  <c r="H100" i="15"/>
  <c r="H99" i="15"/>
  <c r="H90" i="15"/>
  <c r="H91" i="15"/>
  <c r="H93" i="15"/>
  <c r="H89" i="15"/>
  <c r="H166" i="15" l="1"/>
  <c r="H167" i="15"/>
  <c r="H168" i="15"/>
  <c r="H169" i="15"/>
  <c r="H170" i="15"/>
  <c r="H171" i="15"/>
  <c r="H165" i="15"/>
  <c r="H159" i="15" l="1"/>
  <c r="H160" i="15"/>
  <c r="H121" i="15" l="1"/>
  <c r="H120" i="15"/>
  <c r="H119" i="15"/>
  <c r="H68" i="15"/>
  <c r="H67" i="15"/>
  <c r="H158" i="15" l="1"/>
  <c r="H162" i="15"/>
  <c r="H161" i="15"/>
  <c r="H163" i="15"/>
  <c r="H85" i="15" l="1"/>
  <c r="H234" i="15" l="1"/>
  <c r="H233" i="15"/>
  <c r="H229" i="15"/>
  <c r="H228" i="15"/>
  <c r="H224" i="15"/>
  <c r="H223" i="15"/>
  <c r="H219" i="15"/>
  <c r="H218" i="15"/>
  <c r="H214" i="15"/>
  <c r="H213" i="15"/>
  <c r="H209" i="15"/>
  <c r="H208" i="15"/>
  <c r="H203" i="15"/>
  <c r="H202" i="15"/>
  <c r="H198" i="15"/>
  <c r="H197" i="15"/>
  <c r="H192" i="15"/>
  <c r="H191" i="15"/>
  <c r="H187" i="15"/>
  <c r="H186" i="15"/>
  <c r="H182" i="15"/>
  <c r="H181" i="15"/>
  <c r="H147" i="15"/>
  <c r="H145" i="15"/>
  <c r="H144" i="15"/>
  <c r="H143" i="15"/>
  <c r="H141" i="15"/>
  <c r="H140" i="15"/>
  <c r="H139" i="15"/>
  <c r="H138" i="15"/>
  <c r="H134" i="15"/>
  <c r="H132" i="15"/>
  <c r="H131" i="15"/>
  <c r="H130" i="15"/>
  <c r="H128" i="15"/>
  <c r="H127" i="15"/>
  <c r="H126" i="15"/>
  <c r="H125" i="15"/>
  <c r="H123" i="15"/>
  <c r="H122" i="15"/>
  <c r="H116" i="15"/>
  <c r="H115" i="15"/>
  <c r="H114" i="15"/>
  <c r="H113" i="15"/>
  <c r="H112" i="15"/>
  <c r="H111" i="15"/>
  <c r="H110" i="15"/>
  <c r="H109" i="15"/>
  <c r="H108" i="15"/>
  <c r="H101" i="15"/>
  <c r="H95" i="15"/>
  <c r="H94" i="15"/>
  <c r="H76" i="15"/>
  <c r="H56" i="15"/>
  <c r="H55" i="15"/>
  <c r="H54" i="15"/>
  <c r="H53" i="15"/>
  <c r="H51" i="15"/>
  <c r="H50" i="15"/>
  <c r="H47" i="15"/>
  <c r="H46" i="15"/>
  <c r="H45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27" i="15"/>
  <c r="H26" i="15"/>
  <c r="H25" i="15"/>
  <c r="H12" i="15"/>
  <c r="H11" i="15"/>
  <c r="H10" i="15"/>
  <c r="H9" i="15"/>
  <c r="H8" i="15"/>
  <c r="H7" i="15"/>
  <c r="H188" i="15" l="1"/>
  <c r="H210" i="15"/>
  <c r="H230" i="15"/>
  <c r="H183" i="15"/>
  <c r="H225" i="15"/>
  <c r="H220" i="15"/>
  <c r="H215" i="15"/>
  <c r="H235" i="15"/>
  <c r="H204" i="15"/>
  <c r="H193" i="15"/>
  <c r="H199" i="15"/>
  <c r="H150" i="15"/>
  <c r="H133" i="15" l="1"/>
  <c r="N133" i="14" l="1"/>
  <c r="G12" i="15" l="1"/>
  <c r="T235" i="15"/>
  <c r="S235" i="15"/>
  <c r="R235" i="15"/>
  <c r="Q235" i="15"/>
  <c r="P235" i="15"/>
  <c r="O235" i="15"/>
  <c r="N235" i="15"/>
  <c r="M235" i="15"/>
  <c r="L235" i="15"/>
  <c r="K235" i="15"/>
  <c r="J235" i="15"/>
  <c r="I235" i="15"/>
  <c r="G234" i="15"/>
  <c r="G233" i="15"/>
  <c r="T230" i="15"/>
  <c r="S230" i="15"/>
  <c r="R230" i="15"/>
  <c r="Q230" i="15"/>
  <c r="P230" i="15"/>
  <c r="O230" i="15"/>
  <c r="N230" i="15"/>
  <c r="M230" i="15"/>
  <c r="L230" i="15"/>
  <c r="K230" i="15"/>
  <c r="J230" i="15"/>
  <c r="I230" i="15"/>
  <c r="G229" i="15"/>
  <c r="G228" i="15"/>
  <c r="T225" i="15"/>
  <c r="S225" i="15"/>
  <c r="R225" i="15"/>
  <c r="Q225" i="15"/>
  <c r="P225" i="15"/>
  <c r="O225" i="15"/>
  <c r="N225" i="15"/>
  <c r="M225" i="15"/>
  <c r="L225" i="15"/>
  <c r="K225" i="15"/>
  <c r="J225" i="15"/>
  <c r="I225" i="15"/>
  <c r="G224" i="15"/>
  <c r="G223" i="15"/>
  <c r="T220" i="15"/>
  <c r="S220" i="15"/>
  <c r="R220" i="15"/>
  <c r="Q220" i="15"/>
  <c r="P220" i="15"/>
  <c r="O220" i="15"/>
  <c r="N220" i="15"/>
  <c r="M220" i="15"/>
  <c r="L220" i="15"/>
  <c r="K220" i="15"/>
  <c r="J220" i="15"/>
  <c r="I220" i="15"/>
  <c r="G219" i="15"/>
  <c r="G218" i="15"/>
  <c r="T215" i="15"/>
  <c r="S215" i="15"/>
  <c r="R215" i="15"/>
  <c r="Q215" i="15"/>
  <c r="P215" i="15"/>
  <c r="O215" i="15"/>
  <c r="N215" i="15"/>
  <c r="M215" i="15"/>
  <c r="L215" i="15"/>
  <c r="K215" i="15"/>
  <c r="J215" i="15"/>
  <c r="I215" i="15"/>
  <c r="G214" i="15"/>
  <c r="G213" i="15"/>
  <c r="T210" i="15"/>
  <c r="S210" i="15"/>
  <c r="R210" i="15"/>
  <c r="Q210" i="15"/>
  <c r="P210" i="15"/>
  <c r="O210" i="15"/>
  <c r="N210" i="15"/>
  <c r="M210" i="15"/>
  <c r="L210" i="15"/>
  <c r="K210" i="15"/>
  <c r="J210" i="15"/>
  <c r="I210" i="15"/>
  <c r="G209" i="15"/>
  <c r="G208" i="15"/>
  <c r="T204" i="15"/>
  <c r="S204" i="15"/>
  <c r="R204" i="15"/>
  <c r="Q204" i="15"/>
  <c r="P204" i="15"/>
  <c r="O204" i="15"/>
  <c r="N204" i="15"/>
  <c r="M204" i="15"/>
  <c r="L204" i="15"/>
  <c r="K204" i="15"/>
  <c r="J204" i="15"/>
  <c r="I204" i="15"/>
  <c r="G203" i="15"/>
  <c r="G202" i="15"/>
  <c r="T199" i="15"/>
  <c r="S199" i="15"/>
  <c r="R199" i="15"/>
  <c r="Q199" i="15"/>
  <c r="P199" i="15"/>
  <c r="O199" i="15"/>
  <c r="N199" i="15"/>
  <c r="M199" i="15"/>
  <c r="L199" i="15"/>
  <c r="K199" i="15"/>
  <c r="J199" i="15"/>
  <c r="I199" i="15"/>
  <c r="G198" i="15"/>
  <c r="G197" i="15"/>
  <c r="T193" i="15"/>
  <c r="S193" i="15"/>
  <c r="R193" i="15"/>
  <c r="Q193" i="15"/>
  <c r="P193" i="15"/>
  <c r="O193" i="15"/>
  <c r="N193" i="15"/>
  <c r="M193" i="15"/>
  <c r="L193" i="15"/>
  <c r="K193" i="15"/>
  <c r="J193" i="15"/>
  <c r="I193" i="15"/>
  <c r="G192" i="15"/>
  <c r="G191" i="15"/>
  <c r="T188" i="15"/>
  <c r="S188" i="15"/>
  <c r="R188" i="15"/>
  <c r="Q188" i="15"/>
  <c r="P188" i="15"/>
  <c r="O188" i="15"/>
  <c r="N188" i="15"/>
  <c r="M188" i="15"/>
  <c r="L188" i="15"/>
  <c r="K188" i="15"/>
  <c r="G187" i="15"/>
  <c r="G186" i="15"/>
  <c r="T183" i="15"/>
  <c r="S183" i="15"/>
  <c r="R183" i="15"/>
  <c r="Q183" i="15"/>
  <c r="P183" i="15"/>
  <c r="O183" i="15"/>
  <c r="N183" i="15"/>
  <c r="M183" i="15"/>
  <c r="L183" i="15"/>
  <c r="K183" i="15"/>
  <c r="J183" i="15"/>
  <c r="I183" i="15"/>
  <c r="G182" i="15"/>
  <c r="G181" i="15"/>
  <c r="G145" i="15"/>
  <c r="G144" i="15"/>
  <c r="G143" i="15"/>
  <c r="G141" i="15"/>
  <c r="G140" i="15"/>
  <c r="G139" i="15"/>
  <c r="G138" i="15"/>
  <c r="G134" i="15"/>
  <c r="G133" i="15"/>
  <c r="G132" i="15"/>
  <c r="G131" i="15"/>
  <c r="G130" i="15"/>
  <c r="G128" i="15"/>
  <c r="G127" i="15"/>
  <c r="G126" i="15"/>
  <c r="G125" i="15"/>
  <c r="G123" i="15"/>
  <c r="G122" i="15"/>
  <c r="G121" i="15"/>
  <c r="G101" i="15"/>
  <c r="G56" i="15"/>
  <c r="G55" i="15"/>
  <c r="G54" i="15"/>
  <c r="G53" i="15"/>
  <c r="G51" i="15"/>
  <c r="G50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27" i="15"/>
  <c r="G26" i="15"/>
  <c r="G25" i="15"/>
  <c r="S69" i="14"/>
  <c r="S176" i="14"/>
  <c r="R176" i="14"/>
  <c r="G95" i="14"/>
  <c r="G94" i="14"/>
  <c r="S133" i="14"/>
  <c r="R133" i="14"/>
  <c r="R69" i="14"/>
  <c r="R150" i="14"/>
  <c r="G210" i="15" l="1"/>
  <c r="G188" i="15"/>
  <c r="G204" i="15"/>
  <c r="G235" i="15"/>
  <c r="G183" i="15"/>
  <c r="G199" i="15"/>
  <c r="G220" i="15"/>
  <c r="G193" i="15"/>
  <c r="G215" i="15"/>
  <c r="G230" i="15"/>
  <c r="G225" i="15"/>
  <c r="Q176" i="14"/>
  <c r="Q133" i="14"/>
  <c r="P133" i="14"/>
  <c r="Q150" i="14" l="1"/>
  <c r="P138" i="14" l="1"/>
  <c r="Q69" i="14"/>
  <c r="Q67" i="14"/>
  <c r="P69" i="14"/>
  <c r="P176" i="14" l="1"/>
  <c r="O133" i="14" l="1"/>
  <c r="O176" i="14" l="1"/>
  <c r="O69" i="14" l="1"/>
  <c r="N176" i="14"/>
  <c r="N150" i="14"/>
  <c r="N108" i="14" l="1"/>
  <c r="N69" i="14" l="1"/>
  <c r="N67" i="14"/>
  <c r="M176" i="14"/>
  <c r="M133" i="14"/>
  <c r="L176" i="14" l="1"/>
  <c r="L133" i="14"/>
  <c r="L69" i="14" l="1"/>
  <c r="K176" i="14"/>
  <c r="J176" i="14"/>
  <c r="K69" i="14"/>
  <c r="K67" i="14"/>
  <c r="K133" i="14"/>
  <c r="J133" i="14"/>
  <c r="K150" i="14" l="1"/>
  <c r="I176" i="14" l="1"/>
  <c r="J150" i="14"/>
  <c r="I133" i="14" l="1"/>
  <c r="I150" i="14" l="1"/>
  <c r="H176" i="14" l="1"/>
  <c r="H108" i="14"/>
  <c r="H150" i="14" l="1"/>
  <c r="G138" i="14"/>
  <c r="H133" i="14"/>
  <c r="H67" i="14"/>
  <c r="G79" i="14"/>
  <c r="G80" i="14"/>
  <c r="G81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S235" i="14"/>
  <c r="R235" i="14"/>
  <c r="Q235" i="14"/>
  <c r="P235" i="14"/>
  <c r="O235" i="14"/>
  <c r="N235" i="14"/>
  <c r="M235" i="14"/>
  <c r="L235" i="14"/>
  <c r="K235" i="14"/>
  <c r="J235" i="14"/>
  <c r="I235" i="14"/>
  <c r="H235" i="14"/>
  <c r="G235" i="14"/>
  <c r="G234" i="14"/>
  <c r="G233" i="14"/>
  <c r="S230" i="14"/>
  <c r="R230" i="14"/>
  <c r="Q230" i="14"/>
  <c r="P230" i="14"/>
  <c r="O230" i="14"/>
  <c r="N230" i="14"/>
  <c r="M230" i="14"/>
  <c r="L230" i="14"/>
  <c r="K230" i="14"/>
  <c r="J230" i="14"/>
  <c r="I230" i="14"/>
  <c r="H230" i="14"/>
  <c r="G229" i="14"/>
  <c r="G228" i="14"/>
  <c r="S225" i="14"/>
  <c r="R225" i="14"/>
  <c r="Q225" i="14"/>
  <c r="P225" i="14"/>
  <c r="O225" i="14"/>
  <c r="N225" i="14"/>
  <c r="M225" i="14"/>
  <c r="L225" i="14"/>
  <c r="K225" i="14"/>
  <c r="J225" i="14"/>
  <c r="I225" i="14"/>
  <c r="H225" i="14"/>
  <c r="G224" i="14"/>
  <c r="G223" i="14"/>
  <c r="S220" i="14"/>
  <c r="R220" i="14"/>
  <c r="Q220" i="14"/>
  <c r="P220" i="14"/>
  <c r="O220" i="14"/>
  <c r="N220" i="14"/>
  <c r="M220" i="14"/>
  <c r="L220" i="14"/>
  <c r="K220" i="14"/>
  <c r="J220" i="14"/>
  <c r="I220" i="14"/>
  <c r="H220" i="14"/>
  <c r="G219" i="14"/>
  <c r="G218" i="14"/>
  <c r="S215" i="14"/>
  <c r="R215" i="14"/>
  <c r="Q215" i="14"/>
  <c r="P215" i="14"/>
  <c r="O215" i="14"/>
  <c r="N215" i="14"/>
  <c r="M215" i="14"/>
  <c r="L215" i="14"/>
  <c r="K215" i="14"/>
  <c r="J215" i="14"/>
  <c r="I215" i="14"/>
  <c r="H215" i="14"/>
  <c r="G214" i="14"/>
  <c r="G213" i="14"/>
  <c r="G215" i="14" s="1"/>
  <c r="S210" i="14"/>
  <c r="R210" i="14"/>
  <c r="Q210" i="14"/>
  <c r="P210" i="14"/>
  <c r="O210" i="14"/>
  <c r="N210" i="14"/>
  <c r="M210" i="14"/>
  <c r="L210" i="14"/>
  <c r="K210" i="14"/>
  <c r="J210" i="14"/>
  <c r="I210" i="14"/>
  <c r="H210" i="14"/>
  <c r="G209" i="14"/>
  <c r="G208" i="14"/>
  <c r="G210" i="14" s="1"/>
  <c r="S204" i="14"/>
  <c r="R204" i="14"/>
  <c r="Q204" i="14"/>
  <c r="P204" i="14"/>
  <c r="O204" i="14"/>
  <c r="N204" i="14"/>
  <c r="M204" i="14"/>
  <c r="L204" i="14"/>
  <c r="K204" i="14"/>
  <c r="J204" i="14"/>
  <c r="I204" i="14"/>
  <c r="H204" i="14"/>
  <c r="G203" i="14"/>
  <c r="G202" i="14"/>
  <c r="G204" i="14" s="1"/>
  <c r="S199" i="14"/>
  <c r="R199" i="14"/>
  <c r="Q199" i="14"/>
  <c r="P199" i="14"/>
  <c r="O199" i="14"/>
  <c r="N199" i="14"/>
  <c r="M199" i="14"/>
  <c r="L199" i="14"/>
  <c r="K199" i="14"/>
  <c r="J199" i="14"/>
  <c r="I199" i="14"/>
  <c r="H199" i="14"/>
  <c r="G198" i="14"/>
  <c r="G197" i="14"/>
  <c r="S193" i="14"/>
  <c r="R193" i="14"/>
  <c r="Q193" i="14"/>
  <c r="P193" i="14"/>
  <c r="O193" i="14"/>
  <c r="N193" i="14"/>
  <c r="M193" i="14"/>
  <c r="L193" i="14"/>
  <c r="K193" i="14"/>
  <c r="J193" i="14"/>
  <c r="I193" i="14"/>
  <c r="H193" i="14"/>
  <c r="G192" i="14"/>
  <c r="G191" i="14"/>
  <c r="G193" i="14" s="1"/>
  <c r="S188" i="14"/>
  <c r="R188" i="14"/>
  <c r="Q188" i="14"/>
  <c r="P188" i="14"/>
  <c r="O188" i="14"/>
  <c r="N188" i="14"/>
  <c r="M188" i="14"/>
  <c r="L188" i="14"/>
  <c r="K188" i="14"/>
  <c r="J188" i="14"/>
  <c r="G187" i="14"/>
  <c r="G186" i="14"/>
  <c r="G188" i="14" s="1"/>
  <c r="S183" i="14"/>
  <c r="R183" i="14"/>
  <c r="Q183" i="14"/>
  <c r="P183" i="14"/>
  <c r="O183" i="14"/>
  <c r="N183" i="14"/>
  <c r="M183" i="14"/>
  <c r="L183" i="14"/>
  <c r="K183" i="14"/>
  <c r="J183" i="14"/>
  <c r="I183" i="14"/>
  <c r="H183" i="14"/>
  <c r="G182" i="14"/>
  <c r="G181" i="14"/>
  <c r="G183" i="14" s="1"/>
  <c r="G173" i="14"/>
  <c r="G171" i="14"/>
  <c r="G170" i="14"/>
  <c r="G169" i="14"/>
  <c r="G168" i="14"/>
  <c r="G167" i="14"/>
  <c r="G166" i="14"/>
  <c r="G165" i="14"/>
  <c r="G163" i="14"/>
  <c r="G162" i="14"/>
  <c r="G161" i="14"/>
  <c r="G160" i="14"/>
  <c r="G159" i="14"/>
  <c r="G158" i="14"/>
  <c r="G156" i="14"/>
  <c r="G155" i="14"/>
  <c r="G154" i="14"/>
  <c r="G153" i="14"/>
  <c r="G152" i="14"/>
  <c r="G151" i="14"/>
  <c r="G147" i="14"/>
  <c r="G145" i="14"/>
  <c r="G144" i="14"/>
  <c r="G143" i="14"/>
  <c r="G141" i="14"/>
  <c r="G140" i="14"/>
  <c r="G139" i="14"/>
  <c r="G134" i="14"/>
  <c r="G132" i="14"/>
  <c r="G131" i="14"/>
  <c r="G128" i="14"/>
  <c r="G127" i="14"/>
  <c r="G126" i="14"/>
  <c r="G125" i="14"/>
  <c r="G123" i="14"/>
  <c r="G122" i="14"/>
  <c r="G121" i="14"/>
  <c r="G120" i="14"/>
  <c r="G119" i="14"/>
  <c r="G116" i="14"/>
  <c r="G115" i="14"/>
  <c r="G114" i="14"/>
  <c r="G113" i="14"/>
  <c r="G112" i="14"/>
  <c r="G111" i="14"/>
  <c r="G110" i="14"/>
  <c r="G109" i="14"/>
  <c r="G108" i="14"/>
  <c r="G101" i="14"/>
  <c r="G100" i="14"/>
  <c r="G99" i="14"/>
  <c r="G93" i="14"/>
  <c r="G91" i="14"/>
  <c r="G90" i="14"/>
  <c r="G89" i="14"/>
  <c r="G85" i="14"/>
  <c r="G63" i="14"/>
  <c r="G62" i="14"/>
  <c r="G61" i="14"/>
  <c r="G60" i="14"/>
  <c r="G59" i="14"/>
  <c r="G58" i="14"/>
  <c r="G56" i="14"/>
  <c r="G55" i="14"/>
  <c r="G54" i="14"/>
  <c r="G53" i="14"/>
  <c r="G51" i="14"/>
  <c r="G50" i="14"/>
  <c r="G47" i="14"/>
  <c r="G46" i="14"/>
  <c r="G45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27" i="14"/>
  <c r="G26" i="14"/>
  <c r="G25" i="14"/>
  <c r="S176" i="12"/>
  <c r="S150" i="12"/>
  <c r="G133" i="14" l="1"/>
  <c r="G130" i="14"/>
  <c r="G150" i="14"/>
  <c r="G230" i="14"/>
  <c r="G225" i="14"/>
  <c r="G199" i="14"/>
  <c r="G220" i="14"/>
  <c r="R138" i="12"/>
  <c r="S138" i="12"/>
  <c r="S133" i="12" l="1"/>
  <c r="R133" i="12"/>
  <c r="R176" i="12" l="1"/>
  <c r="R150" i="12" l="1"/>
  <c r="Q176" i="12" l="1"/>
  <c r="P176" i="12"/>
  <c r="Q69" i="12"/>
  <c r="Q67" i="12" l="1"/>
  <c r="Q150" i="12" l="1"/>
  <c r="Q133" i="12" l="1"/>
  <c r="P133" i="12" l="1"/>
  <c r="O150" i="12" l="1"/>
  <c r="O133" i="12" l="1"/>
  <c r="N133" i="12"/>
  <c r="N150" i="12" l="1"/>
  <c r="N176" i="12" l="1"/>
  <c r="N69" i="12" l="1"/>
  <c r="N67" i="12"/>
  <c r="M150" i="12" l="1"/>
  <c r="L150" i="12"/>
  <c r="M176" i="12" l="1"/>
  <c r="I165" i="12" l="1"/>
  <c r="J165" i="12"/>
  <c r="K165" i="12"/>
  <c r="L165" i="12"/>
  <c r="M165" i="12"/>
  <c r="H165" i="12"/>
  <c r="M133" i="12" l="1"/>
  <c r="M138" i="12"/>
  <c r="L176" i="12" l="1"/>
  <c r="L138" i="12" l="1"/>
  <c r="L133" i="12"/>
  <c r="K133" i="12" l="1"/>
  <c r="K176" i="12"/>
  <c r="K68" i="12"/>
  <c r="K150" i="12"/>
  <c r="J176" i="12"/>
  <c r="J133" i="12"/>
  <c r="J150" i="12"/>
  <c r="I176" i="12"/>
  <c r="I133" i="12"/>
  <c r="I150" i="12"/>
  <c r="H176" i="12"/>
  <c r="H133" i="12"/>
  <c r="G133" i="12"/>
  <c r="H67" i="12"/>
  <c r="H158" i="12"/>
  <c r="H150" i="12"/>
  <c r="G83" i="10"/>
  <c r="G80" i="12"/>
  <c r="G81" i="12"/>
  <c r="G79" i="12"/>
  <c r="G66" i="12"/>
  <c r="G67" i="12"/>
  <c r="G68" i="12"/>
  <c r="G69" i="12"/>
  <c r="G70" i="12"/>
  <c r="G71" i="12"/>
  <c r="G72" i="12"/>
  <c r="G73" i="12"/>
  <c r="G74" i="12"/>
  <c r="G75" i="12"/>
  <c r="G76" i="12"/>
  <c r="G65" i="12"/>
  <c r="G59" i="12"/>
  <c r="G60" i="12"/>
  <c r="G61" i="12"/>
  <c r="G62" i="12"/>
  <c r="G63" i="12"/>
  <c r="G58" i="12"/>
  <c r="G46" i="12"/>
  <c r="G47" i="12"/>
  <c r="G45" i="12"/>
  <c r="G7" i="12"/>
  <c r="G8" i="12"/>
  <c r="G9" i="12"/>
  <c r="G10" i="12"/>
  <c r="G11" i="12"/>
  <c r="G12" i="12"/>
  <c r="G6" i="12"/>
  <c r="G121" i="12"/>
  <c r="G120" i="12"/>
  <c r="G119" i="12"/>
  <c r="G100" i="12"/>
  <c r="G99" i="12"/>
  <c r="G90" i="12"/>
  <c r="G91" i="12"/>
  <c r="G93" i="12"/>
  <c r="G89" i="12"/>
  <c r="G85" i="12"/>
  <c r="G36" i="12"/>
  <c r="G37" i="12"/>
  <c r="G38" i="12"/>
  <c r="G39" i="12"/>
  <c r="G40" i="12"/>
  <c r="G41" i="12"/>
  <c r="G42" i="12"/>
  <c r="G43" i="12"/>
  <c r="S235" i="12"/>
  <c r="R235" i="12"/>
  <c r="Q235" i="12"/>
  <c r="P235" i="12"/>
  <c r="O235" i="12"/>
  <c r="N235" i="12"/>
  <c r="M235" i="12"/>
  <c r="L235" i="12"/>
  <c r="K235" i="12"/>
  <c r="J235" i="12"/>
  <c r="I235" i="12"/>
  <c r="H235" i="12"/>
  <c r="G233" i="12"/>
  <c r="G235" i="12"/>
  <c r="G234" i="12"/>
  <c r="S230" i="12"/>
  <c r="R230" i="12"/>
  <c r="Q230" i="12"/>
  <c r="P230" i="12"/>
  <c r="O230" i="12"/>
  <c r="N230" i="12"/>
  <c r="M230" i="12"/>
  <c r="L230" i="12"/>
  <c r="K230" i="12"/>
  <c r="J230" i="12"/>
  <c r="I230" i="12"/>
  <c r="H230" i="12"/>
  <c r="G228" i="12"/>
  <c r="G229" i="12"/>
  <c r="S225" i="12"/>
  <c r="R225" i="12"/>
  <c r="Q225" i="12"/>
  <c r="P225" i="12"/>
  <c r="O225" i="12"/>
  <c r="N225" i="12"/>
  <c r="M225" i="12"/>
  <c r="L225" i="12"/>
  <c r="K225" i="12"/>
  <c r="J225" i="12"/>
  <c r="I225" i="12"/>
  <c r="H225" i="12"/>
  <c r="G223" i="12"/>
  <c r="G225" i="12"/>
  <c r="G224" i="12"/>
  <c r="S220" i="12"/>
  <c r="R220" i="12"/>
  <c r="Q220" i="12"/>
  <c r="P220" i="12"/>
  <c r="O220" i="12"/>
  <c r="N220" i="12"/>
  <c r="M220" i="12"/>
  <c r="L220" i="12"/>
  <c r="K220" i="12"/>
  <c r="J220" i="12"/>
  <c r="I220" i="12"/>
  <c r="H220" i="12"/>
  <c r="G218" i="12"/>
  <c r="G219" i="12"/>
  <c r="G220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3" i="12"/>
  <c r="G214" i="12"/>
  <c r="G215" i="12"/>
  <c r="S210" i="12"/>
  <c r="R210" i="12"/>
  <c r="Q210" i="12"/>
  <c r="P210" i="12"/>
  <c r="O210" i="12"/>
  <c r="N210" i="12"/>
  <c r="M210" i="12"/>
  <c r="L210" i="12"/>
  <c r="K210" i="12"/>
  <c r="J210" i="12"/>
  <c r="I210" i="12"/>
  <c r="H210" i="12"/>
  <c r="G208" i="12"/>
  <c r="G210" i="12"/>
  <c r="G209" i="12"/>
  <c r="S204" i="12"/>
  <c r="R204" i="12"/>
  <c r="Q204" i="12"/>
  <c r="P204" i="12"/>
  <c r="O204" i="12"/>
  <c r="N204" i="12"/>
  <c r="M204" i="12"/>
  <c r="L204" i="12"/>
  <c r="K204" i="12"/>
  <c r="J204" i="12"/>
  <c r="I204" i="12"/>
  <c r="H204" i="12"/>
  <c r="G202" i="12"/>
  <c r="G203" i="12"/>
  <c r="S199" i="12"/>
  <c r="R199" i="12"/>
  <c r="Q199" i="12"/>
  <c r="P199" i="12"/>
  <c r="O199" i="12"/>
  <c r="N199" i="12"/>
  <c r="M199" i="12"/>
  <c r="L199" i="12"/>
  <c r="K199" i="12"/>
  <c r="J199" i="12"/>
  <c r="I199" i="12"/>
  <c r="H199" i="12"/>
  <c r="G197" i="12"/>
  <c r="G199" i="12"/>
  <c r="G198" i="12"/>
  <c r="S193" i="12"/>
  <c r="R193" i="12"/>
  <c r="Q193" i="12"/>
  <c r="P193" i="12"/>
  <c r="O193" i="12"/>
  <c r="N193" i="12"/>
  <c r="M193" i="12"/>
  <c r="L193" i="12"/>
  <c r="K193" i="12"/>
  <c r="J193" i="12"/>
  <c r="I193" i="12"/>
  <c r="H193" i="12"/>
  <c r="G191" i="12"/>
  <c r="G192" i="12"/>
  <c r="S188" i="12"/>
  <c r="R188" i="12"/>
  <c r="Q188" i="12"/>
  <c r="P188" i="12"/>
  <c r="O188" i="12"/>
  <c r="N188" i="12"/>
  <c r="M188" i="12"/>
  <c r="L188" i="12"/>
  <c r="K188" i="12"/>
  <c r="J188" i="12"/>
  <c r="G186" i="12"/>
  <c r="G188" i="12"/>
  <c r="G187" i="12"/>
  <c r="S183" i="12"/>
  <c r="R183" i="12"/>
  <c r="Q183" i="12"/>
  <c r="P183" i="12"/>
  <c r="O183" i="12"/>
  <c r="N183" i="12"/>
  <c r="M183" i="12"/>
  <c r="L183" i="12"/>
  <c r="K183" i="12"/>
  <c r="J183" i="12"/>
  <c r="I183" i="12"/>
  <c r="H183" i="12"/>
  <c r="G181" i="12"/>
  <c r="G183" i="12"/>
  <c r="G182" i="12"/>
  <c r="G173" i="12"/>
  <c r="G170" i="12"/>
  <c r="G169" i="12"/>
  <c r="G168" i="12"/>
  <c r="G167" i="12"/>
  <c r="G166" i="12"/>
  <c r="G165" i="12"/>
  <c r="G163" i="12"/>
  <c r="G162" i="12"/>
  <c r="G161" i="12"/>
  <c r="G160" i="12"/>
  <c r="G159" i="12"/>
  <c r="G158" i="12"/>
  <c r="G156" i="12"/>
  <c r="E156" i="12"/>
  <c r="G155" i="12"/>
  <c r="G154" i="12"/>
  <c r="E154" i="12"/>
  <c r="G153" i="12"/>
  <c r="G152" i="12"/>
  <c r="E152" i="12"/>
  <c r="G151" i="12"/>
  <c r="E150" i="12"/>
  <c r="G147" i="12"/>
  <c r="G146" i="12"/>
  <c r="G145" i="12"/>
  <c r="G144" i="12"/>
  <c r="G143" i="12"/>
  <c r="G141" i="12"/>
  <c r="G140" i="12"/>
  <c r="G139" i="12"/>
  <c r="G134" i="12"/>
  <c r="G132" i="12"/>
  <c r="G131" i="12"/>
  <c r="G130" i="12"/>
  <c r="G128" i="12"/>
  <c r="G127" i="12"/>
  <c r="G126" i="12"/>
  <c r="G125" i="12"/>
  <c r="G123" i="12"/>
  <c r="G122" i="12"/>
  <c r="E119" i="12"/>
  <c r="G116" i="12"/>
  <c r="G115" i="12"/>
  <c r="G114" i="12"/>
  <c r="G113" i="12"/>
  <c r="G112" i="12"/>
  <c r="G111" i="12"/>
  <c r="G110" i="12"/>
  <c r="G109" i="12"/>
  <c r="G108" i="12"/>
  <c r="G101" i="12"/>
  <c r="E62" i="12"/>
  <c r="E58" i="12"/>
  <c r="G56" i="12"/>
  <c r="G55" i="12"/>
  <c r="G54" i="12"/>
  <c r="G53" i="12"/>
  <c r="G51" i="12"/>
  <c r="G50" i="12"/>
  <c r="E47" i="12"/>
  <c r="G35" i="12"/>
  <c r="G34" i="12"/>
  <c r="G33" i="12"/>
  <c r="G32" i="12"/>
  <c r="G27" i="12"/>
  <c r="G26" i="12"/>
  <c r="G25" i="12"/>
  <c r="E11" i="12"/>
  <c r="E7" i="12"/>
  <c r="S182" i="10"/>
  <c r="S139" i="10"/>
  <c r="S164" i="10"/>
  <c r="S156" i="10"/>
  <c r="R156" i="10"/>
  <c r="R164" i="10"/>
  <c r="S71" i="10"/>
  <c r="Q171" i="10"/>
  <c r="R171" i="10"/>
  <c r="S171" i="10"/>
  <c r="P171" i="10"/>
  <c r="O171" i="10"/>
  <c r="Q156" i="10"/>
  <c r="R71" i="10"/>
  <c r="Q71" i="10"/>
  <c r="Q67" i="10"/>
  <c r="Q69" i="10"/>
  <c r="P67" i="10"/>
  <c r="P71" i="10"/>
  <c r="G71" i="10"/>
  <c r="O67" i="10"/>
  <c r="O71" i="10"/>
  <c r="P156" i="10"/>
  <c r="O164" i="10"/>
  <c r="M164" i="10"/>
  <c r="N164" i="10"/>
  <c r="N182" i="10"/>
  <c r="N156" i="10"/>
  <c r="N144" i="10"/>
  <c r="N139" i="10"/>
  <c r="N112" i="10"/>
  <c r="N111" i="10"/>
  <c r="G111" i="10"/>
  <c r="N67" i="10"/>
  <c r="N71" i="10"/>
  <c r="N69" i="10"/>
  <c r="M139" i="10"/>
  <c r="M182" i="10"/>
  <c r="L182" i="10"/>
  <c r="L144" i="10"/>
  <c r="L139" i="10"/>
  <c r="L111" i="10"/>
  <c r="L164" i="10"/>
  <c r="K69" i="10"/>
  <c r="K67" i="10"/>
  <c r="K71" i="10"/>
  <c r="K111" i="10"/>
  <c r="K139" i="10"/>
  <c r="K182" i="10"/>
  <c r="K164" i="10"/>
  <c r="J182" i="10"/>
  <c r="J169" i="10"/>
  <c r="G169" i="10"/>
  <c r="J164" i="10"/>
  <c r="J111" i="10"/>
  <c r="I111" i="10"/>
  <c r="J139" i="10"/>
  <c r="J156" i="10"/>
  <c r="K171" i="10"/>
  <c r="L171" i="10"/>
  <c r="M171" i="10"/>
  <c r="N171" i="10"/>
  <c r="J171" i="10"/>
  <c r="I182" i="10"/>
  <c r="I77" i="10"/>
  <c r="I156" i="10"/>
  <c r="I164" i="10"/>
  <c r="I139" i="10"/>
  <c r="H139" i="10"/>
  <c r="S236" i="9"/>
  <c r="S231" i="9"/>
  <c r="S226" i="9"/>
  <c r="S221" i="9"/>
  <c r="S216" i="9"/>
  <c r="S211" i="9"/>
  <c r="S205" i="9"/>
  <c r="S200" i="9"/>
  <c r="S194" i="9"/>
  <c r="S189" i="9"/>
  <c r="S184" i="9"/>
  <c r="S166" i="9"/>
  <c r="S164" i="9"/>
  <c r="S151" i="9"/>
  <c r="S134" i="9"/>
  <c r="S66" i="9"/>
  <c r="H182" i="10"/>
  <c r="H156" i="10"/>
  <c r="H71" i="10"/>
  <c r="H164" i="10"/>
  <c r="G164" i="10"/>
  <c r="G82" i="10"/>
  <c r="G174" i="9"/>
  <c r="E173" i="12"/>
  <c r="F179" i="10"/>
  <c r="E173" i="8"/>
  <c r="E179" i="10"/>
  <c r="G167" i="9"/>
  <c r="F172" i="10"/>
  <c r="G168" i="9"/>
  <c r="F173" i="10"/>
  <c r="G169" i="9"/>
  <c r="F174" i="10"/>
  <c r="G170" i="9"/>
  <c r="F175" i="10"/>
  <c r="G171" i="9"/>
  <c r="F176" i="10"/>
  <c r="G172" i="9"/>
  <c r="F177" i="10"/>
  <c r="H166" i="9"/>
  <c r="Q166" i="9"/>
  <c r="E166" i="8"/>
  <c r="E172" i="10"/>
  <c r="E167" i="8"/>
  <c r="E173" i="10"/>
  <c r="E168" i="8"/>
  <c r="E174" i="10"/>
  <c r="E169" i="8"/>
  <c r="E175" i="10"/>
  <c r="E170" i="8"/>
  <c r="E176" i="10"/>
  <c r="E171" i="8"/>
  <c r="E177" i="10"/>
  <c r="F165" i="8"/>
  <c r="G165" i="8"/>
  <c r="H165" i="8"/>
  <c r="I165" i="8"/>
  <c r="K165" i="8"/>
  <c r="L165" i="8"/>
  <c r="M165" i="8"/>
  <c r="N165" i="8"/>
  <c r="O165" i="8"/>
  <c r="P165" i="8"/>
  <c r="Q165" i="8"/>
  <c r="H164" i="9"/>
  <c r="I164" i="9"/>
  <c r="J164" i="9"/>
  <c r="K164" i="9"/>
  <c r="L164" i="9"/>
  <c r="M164" i="9"/>
  <c r="P164" i="9"/>
  <c r="Q164" i="9"/>
  <c r="R164" i="9"/>
  <c r="G160" i="9"/>
  <c r="F165" i="10"/>
  <c r="G161" i="9"/>
  <c r="F166" i="10"/>
  <c r="G162" i="9"/>
  <c r="F167" i="10"/>
  <c r="G163" i="9"/>
  <c r="F168" i="10"/>
  <c r="I159" i="9"/>
  <c r="J159" i="9"/>
  <c r="K159" i="9"/>
  <c r="L159" i="9"/>
  <c r="M159" i="9"/>
  <c r="N159" i="9"/>
  <c r="O159" i="9"/>
  <c r="P159" i="9"/>
  <c r="E159" i="8"/>
  <c r="E165" i="10"/>
  <c r="E160" i="8"/>
  <c r="E166" i="10"/>
  <c r="E161" i="8"/>
  <c r="E162" i="8"/>
  <c r="E168" i="10"/>
  <c r="F158" i="8"/>
  <c r="G158" i="8"/>
  <c r="E158" i="8"/>
  <c r="E164" i="10"/>
  <c r="H158" i="8"/>
  <c r="I158" i="8"/>
  <c r="J158" i="8"/>
  <c r="K158" i="8"/>
  <c r="L158" i="8"/>
  <c r="M158" i="8"/>
  <c r="N158" i="8"/>
  <c r="P158" i="8"/>
  <c r="Q158" i="8"/>
  <c r="G152" i="9"/>
  <c r="E151" i="12"/>
  <c r="F157" i="10"/>
  <c r="G153" i="9"/>
  <c r="F158" i="10"/>
  <c r="G154" i="9"/>
  <c r="E153" i="12"/>
  <c r="F159" i="10"/>
  <c r="G155" i="9"/>
  <c r="F160" i="10"/>
  <c r="G156" i="9"/>
  <c r="E155" i="12"/>
  <c r="F161" i="10"/>
  <c r="G157" i="9"/>
  <c r="F162" i="10"/>
  <c r="G151" i="9"/>
  <c r="F156" i="10"/>
  <c r="E151" i="8"/>
  <c r="E157" i="10"/>
  <c r="E152" i="8"/>
  <c r="E158" i="10"/>
  <c r="E153" i="8"/>
  <c r="E159" i="10"/>
  <c r="E154" i="8"/>
  <c r="E160" i="10"/>
  <c r="E155" i="8"/>
  <c r="E161" i="10"/>
  <c r="E156" i="8"/>
  <c r="E162" i="10"/>
  <c r="F150" i="8"/>
  <c r="G150" i="8"/>
  <c r="H150" i="8"/>
  <c r="E150" i="8"/>
  <c r="E156" i="10"/>
  <c r="I150" i="8"/>
  <c r="J150" i="8"/>
  <c r="K150" i="8"/>
  <c r="L150" i="8"/>
  <c r="M150" i="8"/>
  <c r="N150" i="8"/>
  <c r="O150" i="8"/>
  <c r="P150" i="8"/>
  <c r="Q150" i="8"/>
  <c r="G148" i="9"/>
  <c r="F153" i="10"/>
  <c r="G147" i="9"/>
  <c r="F152" i="10"/>
  <c r="E147" i="8"/>
  <c r="E153" i="10"/>
  <c r="E146" i="8"/>
  <c r="E152" i="10"/>
  <c r="E122" i="8"/>
  <c r="E127" i="10"/>
  <c r="G122" i="9"/>
  <c r="E121" i="12"/>
  <c r="E121" i="8"/>
  <c r="E126" i="10"/>
  <c r="G121" i="9"/>
  <c r="F126" i="10"/>
  <c r="E120" i="8"/>
  <c r="E125" i="10"/>
  <c r="G120" i="9"/>
  <c r="F125" i="10"/>
  <c r="G107" i="9"/>
  <c r="F112" i="10"/>
  <c r="G108" i="9"/>
  <c r="F113" i="10"/>
  <c r="G109" i="9"/>
  <c r="F114" i="10"/>
  <c r="G110" i="9"/>
  <c r="F115" i="10"/>
  <c r="G111" i="9"/>
  <c r="F116" i="10"/>
  <c r="G112" i="9"/>
  <c r="F117" i="10"/>
  <c r="G113" i="9"/>
  <c r="F118" i="10"/>
  <c r="G114" i="9"/>
  <c r="F119" i="10"/>
  <c r="G106" i="9"/>
  <c r="F111" i="10"/>
  <c r="E107" i="8"/>
  <c r="E112" i="10"/>
  <c r="E108" i="8"/>
  <c r="E113" i="10"/>
  <c r="E109" i="8"/>
  <c r="E114" i="10"/>
  <c r="E110" i="8"/>
  <c r="E115" i="10"/>
  <c r="E111" i="8"/>
  <c r="E116" i="10"/>
  <c r="E112" i="8"/>
  <c r="E117" i="10"/>
  <c r="E113" i="8"/>
  <c r="E118" i="10"/>
  <c r="E114" i="8"/>
  <c r="E119" i="10"/>
  <c r="F106" i="8"/>
  <c r="H106" i="8"/>
  <c r="P106" i="8"/>
  <c r="E106" i="8"/>
  <c r="E111" i="10"/>
  <c r="G98" i="9"/>
  <c r="E100" i="12"/>
  <c r="F103" i="10"/>
  <c r="E98" i="8"/>
  <c r="E103" i="10"/>
  <c r="G97" i="9"/>
  <c r="E99" i="12"/>
  <c r="F102" i="10"/>
  <c r="E97" i="8"/>
  <c r="E102" i="10"/>
  <c r="G93" i="9"/>
  <c r="F98" i="10"/>
  <c r="E98" i="10"/>
  <c r="G90" i="9"/>
  <c r="F95" i="10"/>
  <c r="E90" i="8"/>
  <c r="E95" i="10"/>
  <c r="E86" i="8"/>
  <c r="E91" i="10"/>
  <c r="G86" i="9"/>
  <c r="F91" i="10"/>
  <c r="G83" i="9"/>
  <c r="F88" i="10"/>
  <c r="G84" i="9"/>
  <c r="F89" i="10"/>
  <c r="G82" i="9"/>
  <c r="F87" i="10"/>
  <c r="E83" i="8"/>
  <c r="E88" i="10"/>
  <c r="E84" i="8"/>
  <c r="E89" i="10"/>
  <c r="E82" i="8"/>
  <c r="E87" i="10"/>
  <c r="G79" i="9"/>
  <c r="F84" i="10"/>
  <c r="G80" i="9"/>
  <c r="F85" i="10"/>
  <c r="G77" i="9"/>
  <c r="F82" i="10"/>
  <c r="G78" i="9"/>
  <c r="F83" i="10"/>
  <c r="G76" i="9"/>
  <c r="F81" i="10"/>
  <c r="E77" i="8"/>
  <c r="E82" i="10"/>
  <c r="E78" i="8"/>
  <c r="E83" i="10"/>
  <c r="E76" i="8"/>
  <c r="E81" i="10"/>
  <c r="E68" i="10"/>
  <c r="E69" i="10"/>
  <c r="E70" i="10"/>
  <c r="E71" i="10"/>
  <c r="E72" i="10"/>
  <c r="E73" i="10"/>
  <c r="E74" i="10"/>
  <c r="E76" i="10"/>
  <c r="E77" i="10"/>
  <c r="E78" i="10"/>
  <c r="E67" i="10"/>
  <c r="G64" i="9"/>
  <c r="F68" i="10"/>
  <c r="H65" i="9"/>
  <c r="K65" i="9"/>
  <c r="G65" i="9"/>
  <c r="F69" i="10"/>
  <c r="R66" i="9"/>
  <c r="G66" i="9"/>
  <c r="F70" i="10"/>
  <c r="G67" i="9"/>
  <c r="F71" i="10"/>
  <c r="G68" i="9"/>
  <c r="F72" i="10"/>
  <c r="G69" i="9"/>
  <c r="F73" i="10"/>
  <c r="G70" i="9"/>
  <c r="F74" i="10"/>
  <c r="G71" i="9"/>
  <c r="F76" i="10"/>
  <c r="H72" i="9"/>
  <c r="I72" i="9"/>
  <c r="G72" i="9"/>
  <c r="L72" i="9"/>
  <c r="P72" i="9"/>
  <c r="F77" i="10"/>
  <c r="G73" i="9"/>
  <c r="F78" i="10"/>
  <c r="G63" i="9"/>
  <c r="F67" i="10"/>
  <c r="G57" i="9"/>
  <c r="F61" i="10"/>
  <c r="G58" i="9"/>
  <c r="E60" i="12"/>
  <c r="F62" i="10"/>
  <c r="G59" i="9"/>
  <c r="E61" i="12"/>
  <c r="G60" i="9"/>
  <c r="F64" i="10"/>
  <c r="G61" i="9"/>
  <c r="F65" i="10"/>
  <c r="G56" i="9"/>
  <c r="F60" i="10"/>
  <c r="E58" i="8"/>
  <c r="E61" i="10"/>
  <c r="E59" i="8"/>
  <c r="E62" i="10"/>
  <c r="E60" i="8"/>
  <c r="E63" i="10"/>
  <c r="E61" i="8"/>
  <c r="E64" i="10"/>
  <c r="E62" i="8"/>
  <c r="E65" i="10"/>
  <c r="E57" i="8"/>
  <c r="E60" i="10"/>
  <c r="G54" i="9"/>
  <c r="E55" i="8"/>
  <c r="E58" i="10"/>
  <c r="G43" i="9"/>
  <c r="E46" i="12"/>
  <c r="G44" i="9"/>
  <c r="F48" i="10"/>
  <c r="G42" i="9"/>
  <c r="E45" i="12"/>
  <c r="E45" i="8"/>
  <c r="E48" i="10"/>
  <c r="E44" i="8"/>
  <c r="E47" i="10"/>
  <c r="E43" i="8"/>
  <c r="E46" i="10"/>
  <c r="G87" i="10"/>
  <c r="G7" i="9"/>
  <c r="F7" i="10"/>
  <c r="G8" i="9"/>
  <c r="G9" i="9"/>
  <c r="E9" i="12"/>
  <c r="F9" i="10"/>
  <c r="G10" i="9"/>
  <c r="G11" i="9"/>
  <c r="F11" i="10"/>
  <c r="G12" i="9"/>
  <c r="G6" i="9"/>
  <c r="E6" i="12"/>
  <c r="F6" i="10"/>
  <c r="E7" i="10"/>
  <c r="E8" i="10"/>
  <c r="E9" i="10"/>
  <c r="E10" i="10"/>
  <c r="E11" i="10"/>
  <c r="E12" i="10"/>
  <c r="E6" i="10"/>
  <c r="S241" i="10"/>
  <c r="R241" i="10"/>
  <c r="Q241" i="10"/>
  <c r="P241" i="10"/>
  <c r="O241" i="10"/>
  <c r="N241" i="10"/>
  <c r="M241" i="10"/>
  <c r="L241" i="10"/>
  <c r="K241" i="10"/>
  <c r="J241" i="10"/>
  <c r="I241" i="10"/>
  <c r="H241" i="10"/>
  <c r="G239" i="10"/>
  <c r="G240" i="10"/>
  <c r="S236" i="10"/>
  <c r="R236" i="10"/>
  <c r="Q236" i="10"/>
  <c r="P236" i="10"/>
  <c r="O236" i="10"/>
  <c r="N236" i="10"/>
  <c r="M236" i="10"/>
  <c r="L236" i="10"/>
  <c r="K236" i="10"/>
  <c r="J236" i="10"/>
  <c r="I236" i="10"/>
  <c r="H236" i="10"/>
  <c r="G234" i="10"/>
  <c r="G235" i="10"/>
  <c r="G236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29" i="10"/>
  <c r="G231" i="10"/>
  <c r="G230" i="10"/>
  <c r="S226" i="10"/>
  <c r="R226" i="10"/>
  <c r="Q226" i="10"/>
  <c r="P226" i="10"/>
  <c r="O226" i="10"/>
  <c r="N226" i="10"/>
  <c r="M226" i="10"/>
  <c r="L226" i="10"/>
  <c r="K226" i="10"/>
  <c r="J226" i="10"/>
  <c r="I226" i="10"/>
  <c r="H226" i="10"/>
  <c r="G224" i="10"/>
  <c r="G225" i="10"/>
  <c r="S221" i="10"/>
  <c r="R221" i="10"/>
  <c r="Q221" i="10"/>
  <c r="P221" i="10"/>
  <c r="O221" i="10"/>
  <c r="N221" i="10"/>
  <c r="M221" i="10"/>
  <c r="L221" i="10"/>
  <c r="K221" i="10"/>
  <c r="J221" i="10"/>
  <c r="I221" i="10"/>
  <c r="H221" i="10"/>
  <c r="G219" i="10"/>
  <c r="G220" i="10"/>
  <c r="S216" i="10"/>
  <c r="R216" i="10"/>
  <c r="Q216" i="10"/>
  <c r="P216" i="10"/>
  <c r="O216" i="10"/>
  <c r="N216" i="10"/>
  <c r="M216" i="10"/>
  <c r="L216" i="10"/>
  <c r="K216" i="10"/>
  <c r="J216" i="10"/>
  <c r="I216" i="10"/>
  <c r="H216" i="10"/>
  <c r="G214" i="10"/>
  <c r="G216" i="10"/>
  <c r="G215" i="10"/>
  <c r="S210" i="10"/>
  <c r="R210" i="10"/>
  <c r="Q210" i="10"/>
  <c r="P210" i="10"/>
  <c r="O210" i="10"/>
  <c r="N210" i="10"/>
  <c r="M210" i="10"/>
  <c r="L210" i="10"/>
  <c r="K210" i="10"/>
  <c r="J210" i="10"/>
  <c r="I210" i="10"/>
  <c r="H210" i="10"/>
  <c r="G208" i="10"/>
  <c r="G209" i="10"/>
  <c r="G210" i="10"/>
  <c r="S205" i="10"/>
  <c r="R205" i="10"/>
  <c r="Q205" i="10"/>
  <c r="P205" i="10"/>
  <c r="O205" i="10"/>
  <c r="N205" i="10"/>
  <c r="M205" i="10"/>
  <c r="L205" i="10"/>
  <c r="K205" i="10"/>
  <c r="J205" i="10"/>
  <c r="I205" i="10"/>
  <c r="H205" i="10"/>
  <c r="G203" i="10"/>
  <c r="G204" i="10"/>
  <c r="S199" i="10"/>
  <c r="R199" i="10"/>
  <c r="Q199" i="10"/>
  <c r="P199" i="10"/>
  <c r="O199" i="10"/>
  <c r="N199" i="10"/>
  <c r="M199" i="10"/>
  <c r="L199" i="10"/>
  <c r="K199" i="10"/>
  <c r="J199" i="10"/>
  <c r="I199" i="10"/>
  <c r="H199" i="10"/>
  <c r="G197" i="10"/>
  <c r="G198" i="10"/>
  <c r="S194" i="10"/>
  <c r="R194" i="10"/>
  <c r="Q194" i="10"/>
  <c r="P194" i="10"/>
  <c r="O194" i="10"/>
  <c r="N194" i="10"/>
  <c r="M194" i="10"/>
  <c r="L194" i="10"/>
  <c r="K194" i="10"/>
  <c r="J194" i="10"/>
  <c r="G192" i="10"/>
  <c r="G193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7" i="10"/>
  <c r="G188" i="10"/>
  <c r="G179" i="10"/>
  <c r="G177" i="10"/>
  <c r="G176" i="10"/>
  <c r="G175" i="10"/>
  <c r="G174" i="10"/>
  <c r="G173" i="10"/>
  <c r="G172" i="10"/>
  <c r="G168" i="10"/>
  <c r="G167" i="10"/>
  <c r="G166" i="10"/>
  <c r="G165" i="10"/>
  <c r="G162" i="10"/>
  <c r="G161" i="10"/>
  <c r="G160" i="10"/>
  <c r="G159" i="10"/>
  <c r="G158" i="10"/>
  <c r="G157" i="10"/>
  <c r="G153" i="10"/>
  <c r="G152" i="10"/>
  <c r="G151" i="10"/>
  <c r="G150" i="10"/>
  <c r="G149" i="10"/>
  <c r="G147" i="10"/>
  <c r="G146" i="10"/>
  <c r="G145" i="10"/>
  <c r="G144" i="10"/>
  <c r="G140" i="10"/>
  <c r="G138" i="10"/>
  <c r="G137" i="10"/>
  <c r="G136" i="10"/>
  <c r="G134" i="10"/>
  <c r="G133" i="10"/>
  <c r="G132" i="10"/>
  <c r="G131" i="10"/>
  <c r="G129" i="10"/>
  <c r="G128" i="10"/>
  <c r="G127" i="10"/>
  <c r="G126" i="10"/>
  <c r="G125" i="10"/>
  <c r="G124" i="10"/>
  <c r="G123" i="10"/>
  <c r="G122" i="10"/>
  <c r="G119" i="10"/>
  <c r="G118" i="10"/>
  <c r="G117" i="10"/>
  <c r="G116" i="10"/>
  <c r="G115" i="10"/>
  <c r="G114" i="10"/>
  <c r="G113" i="10"/>
  <c r="G112" i="10"/>
  <c r="G104" i="10"/>
  <c r="G103" i="10"/>
  <c r="G102" i="10"/>
  <c r="G98" i="10"/>
  <c r="G97" i="10"/>
  <c r="G96" i="10"/>
  <c r="G95" i="10"/>
  <c r="G94" i="10"/>
  <c r="G93" i="10"/>
  <c r="G92" i="10"/>
  <c r="G91" i="10"/>
  <c r="G89" i="10"/>
  <c r="G88" i="10"/>
  <c r="G85" i="10"/>
  <c r="G84" i="10"/>
  <c r="G81" i="10"/>
  <c r="G78" i="10"/>
  <c r="G76" i="10"/>
  <c r="G74" i="10"/>
  <c r="G73" i="10"/>
  <c r="G72" i="10"/>
  <c r="G70" i="10"/>
  <c r="G69" i="10"/>
  <c r="G68" i="10"/>
  <c r="G65" i="10"/>
  <c r="G64" i="10"/>
  <c r="G63" i="10"/>
  <c r="G62" i="10"/>
  <c r="G61" i="10"/>
  <c r="G60" i="10"/>
  <c r="G58" i="10"/>
  <c r="G57" i="10"/>
  <c r="G56" i="10"/>
  <c r="G55" i="10"/>
  <c r="G54" i="10"/>
  <c r="G52" i="10"/>
  <c r="G51" i="10"/>
  <c r="G48" i="10"/>
  <c r="G47" i="10"/>
  <c r="G46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27" i="10"/>
  <c r="G26" i="10"/>
  <c r="G25" i="10"/>
  <c r="G12" i="10"/>
  <c r="G11" i="10"/>
  <c r="G10" i="10"/>
  <c r="G9" i="10"/>
  <c r="G8" i="10"/>
  <c r="G7" i="10"/>
  <c r="G6" i="10"/>
  <c r="R151" i="9"/>
  <c r="R177" i="9"/>
  <c r="R134" i="9"/>
  <c r="Q134" i="9"/>
  <c r="Q151" i="9"/>
  <c r="Q177" i="9"/>
  <c r="P139" i="9"/>
  <c r="P177" i="9"/>
  <c r="P134" i="9"/>
  <c r="P151" i="9"/>
  <c r="O151" i="9"/>
  <c r="O134" i="9"/>
  <c r="M134" i="9"/>
  <c r="O177" i="9"/>
  <c r="N177" i="9"/>
  <c r="G123" i="9"/>
  <c r="G118" i="9"/>
  <c r="G119" i="9"/>
  <c r="G117" i="9"/>
  <c r="M177" i="9"/>
  <c r="H151" i="9"/>
  <c r="L151" i="9"/>
  <c r="L177" i="9"/>
  <c r="L134" i="9"/>
  <c r="K177" i="9"/>
  <c r="J177" i="9"/>
  <c r="G139" i="9"/>
  <c r="G140" i="9"/>
  <c r="G141" i="9"/>
  <c r="H142" i="9"/>
  <c r="I142" i="9"/>
  <c r="J142" i="9"/>
  <c r="J134" i="9"/>
  <c r="K134" i="9"/>
  <c r="I177" i="9"/>
  <c r="J151" i="9"/>
  <c r="I151" i="9"/>
  <c r="I134" i="9"/>
  <c r="G48" i="9"/>
  <c r="G47" i="9"/>
  <c r="F151" i="9"/>
  <c r="H134" i="9"/>
  <c r="G25" i="9"/>
  <c r="G26" i="9"/>
  <c r="G27" i="9"/>
  <c r="G28" i="9"/>
  <c r="G29" i="9"/>
  <c r="G30" i="9"/>
  <c r="G31" i="9"/>
  <c r="G32" i="9"/>
  <c r="G33" i="9"/>
  <c r="G34" i="9"/>
  <c r="H177" i="9"/>
  <c r="G145" i="9"/>
  <c r="G146" i="9"/>
  <c r="G144" i="9"/>
  <c r="G132" i="9"/>
  <c r="G133" i="9"/>
  <c r="G135" i="9"/>
  <c r="G131" i="9"/>
  <c r="G127" i="9"/>
  <c r="G128" i="9"/>
  <c r="G129" i="9"/>
  <c r="G126" i="9"/>
  <c r="G124" i="9"/>
  <c r="G87" i="9"/>
  <c r="G88" i="9"/>
  <c r="G89" i="9"/>
  <c r="G91" i="9"/>
  <c r="G92" i="9"/>
  <c r="G35" i="9"/>
  <c r="G36" i="9"/>
  <c r="G37" i="9"/>
  <c r="G38" i="9"/>
  <c r="G39" i="9"/>
  <c r="G40" i="9"/>
  <c r="E6" i="8"/>
  <c r="E7" i="8"/>
  <c r="F8" i="8"/>
  <c r="H8" i="8"/>
  <c r="E8" i="8"/>
  <c r="E9" i="8"/>
  <c r="E10" i="8"/>
  <c r="E11" i="8"/>
  <c r="E12" i="8"/>
  <c r="E25" i="8"/>
  <c r="E26" i="8"/>
  <c r="E27" i="8"/>
  <c r="E28" i="8"/>
  <c r="E29" i="8"/>
  <c r="E30" i="8"/>
  <c r="E31" i="8"/>
  <c r="E32" i="8"/>
  <c r="E33" i="8"/>
  <c r="E34" i="8"/>
  <c r="E36" i="8"/>
  <c r="E37" i="8"/>
  <c r="E38" i="8"/>
  <c r="E39" i="8"/>
  <c r="E40" i="8"/>
  <c r="E41" i="8"/>
  <c r="E48" i="8"/>
  <c r="E49" i="8"/>
  <c r="E51" i="8"/>
  <c r="E52" i="8"/>
  <c r="E53" i="8"/>
  <c r="E54" i="8"/>
  <c r="F64" i="8"/>
  <c r="G64" i="8"/>
  <c r="H64" i="8"/>
  <c r="I64" i="8"/>
  <c r="J64" i="8"/>
  <c r="K64" i="8"/>
  <c r="L64" i="8"/>
  <c r="E65" i="8"/>
  <c r="F66" i="8"/>
  <c r="I66" i="8"/>
  <c r="L66" i="8"/>
  <c r="O66" i="8"/>
  <c r="E66" i="8"/>
  <c r="E67" i="8"/>
  <c r="F68" i="8"/>
  <c r="G68" i="8"/>
  <c r="J68" i="8"/>
  <c r="L68" i="8"/>
  <c r="N68" i="8"/>
  <c r="P68" i="8"/>
  <c r="Q68" i="8"/>
  <c r="Q72" i="8"/>
  <c r="E69" i="8"/>
  <c r="E70" i="8"/>
  <c r="E71" i="8"/>
  <c r="F73" i="8"/>
  <c r="G73" i="8"/>
  <c r="H73" i="8"/>
  <c r="I73" i="8"/>
  <c r="J73" i="8"/>
  <c r="M73" i="8"/>
  <c r="N73" i="8"/>
  <c r="P73" i="8"/>
  <c r="E79" i="8"/>
  <c r="E80" i="8"/>
  <c r="E87" i="8"/>
  <c r="E88" i="8"/>
  <c r="E89" i="8"/>
  <c r="E91" i="8"/>
  <c r="E92" i="8"/>
  <c r="E93" i="8"/>
  <c r="E99" i="8"/>
  <c r="E117" i="8"/>
  <c r="E118" i="8"/>
  <c r="E119" i="8"/>
  <c r="E123" i="8"/>
  <c r="E124" i="8"/>
  <c r="E126" i="8"/>
  <c r="E127" i="8"/>
  <c r="E128" i="8"/>
  <c r="E129" i="8"/>
  <c r="E131" i="8"/>
  <c r="E132" i="8"/>
  <c r="E133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E135" i="8"/>
  <c r="M138" i="8"/>
  <c r="N138" i="8"/>
  <c r="E138" i="8"/>
  <c r="E139" i="8"/>
  <c r="E140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E143" i="8"/>
  <c r="E144" i="8"/>
  <c r="E145" i="8"/>
  <c r="E176" i="8"/>
  <c r="E182" i="8"/>
  <c r="E183" i="8"/>
  <c r="E187" i="8"/>
  <c r="E188" i="8"/>
  <c r="E189" i="8"/>
  <c r="E192" i="8"/>
  <c r="E193" i="8"/>
  <c r="E194" i="8"/>
  <c r="E198" i="8"/>
  <c r="E200" i="8"/>
  <c r="E199" i="8"/>
  <c r="E203" i="8"/>
  <c r="E205" i="8"/>
  <c r="E204" i="8"/>
  <c r="E209" i="8"/>
  <c r="E210" i="8"/>
  <c r="E211" i="8"/>
  <c r="E214" i="8"/>
  <c r="E215" i="8"/>
  <c r="E216" i="8"/>
  <c r="E219" i="8"/>
  <c r="E221" i="8"/>
  <c r="E220" i="8"/>
  <c r="E224" i="8"/>
  <c r="E225" i="8"/>
  <c r="E229" i="8"/>
  <c r="E230" i="8"/>
  <c r="E231" i="8"/>
  <c r="E234" i="8"/>
  <c r="E235" i="8"/>
  <c r="E236" i="8"/>
  <c r="G99" i="9"/>
  <c r="G50" i="9"/>
  <c r="G51" i="9"/>
  <c r="G52" i="9"/>
  <c r="G53" i="9"/>
  <c r="R236" i="9"/>
  <c r="Q236" i="9"/>
  <c r="P236" i="9"/>
  <c r="O236" i="9"/>
  <c r="N236" i="9"/>
  <c r="M236" i="9"/>
  <c r="L236" i="9"/>
  <c r="K236" i="9"/>
  <c r="J236" i="9"/>
  <c r="I236" i="9"/>
  <c r="H236" i="9"/>
  <c r="G235" i="9"/>
  <c r="G234" i="9"/>
  <c r="G236" i="9"/>
  <c r="R231" i="9"/>
  <c r="Q231" i="9"/>
  <c r="P231" i="9"/>
  <c r="O231" i="9"/>
  <c r="N231" i="9"/>
  <c r="M231" i="9"/>
  <c r="L231" i="9"/>
  <c r="K231" i="9"/>
  <c r="J231" i="9"/>
  <c r="I231" i="9"/>
  <c r="H231" i="9"/>
  <c r="G230" i="9"/>
  <c r="G229" i="9"/>
  <c r="R226" i="9"/>
  <c r="Q226" i="9"/>
  <c r="P226" i="9"/>
  <c r="O226" i="9"/>
  <c r="N226" i="9"/>
  <c r="M226" i="9"/>
  <c r="L226" i="9"/>
  <c r="K226" i="9"/>
  <c r="J226" i="9"/>
  <c r="I226" i="9"/>
  <c r="H226" i="9"/>
  <c r="G225" i="9"/>
  <c r="G224" i="9"/>
  <c r="R221" i="9"/>
  <c r="Q221" i="9"/>
  <c r="P221" i="9"/>
  <c r="O221" i="9"/>
  <c r="N221" i="9"/>
  <c r="M221" i="9"/>
  <c r="L221" i="9"/>
  <c r="K221" i="9"/>
  <c r="J221" i="9"/>
  <c r="I221" i="9"/>
  <c r="H221" i="9"/>
  <c r="G220" i="9"/>
  <c r="G219" i="9"/>
  <c r="R216" i="9"/>
  <c r="Q216" i="9"/>
  <c r="P216" i="9"/>
  <c r="O216" i="9"/>
  <c r="N216" i="9"/>
  <c r="M216" i="9"/>
  <c r="L216" i="9"/>
  <c r="K216" i="9"/>
  <c r="J216" i="9"/>
  <c r="I216" i="9"/>
  <c r="H216" i="9"/>
  <c r="G215" i="9"/>
  <c r="G214" i="9"/>
  <c r="G216" i="9"/>
  <c r="R211" i="9"/>
  <c r="Q211" i="9"/>
  <c r="P211" i="9"/>
  <c r="O211" i="9"/>
  <c r="N211" i="9"/>
  <c r="M211" i="9"/>
  <c r="L211" i="9"/>
  <c r="K211" i="9"/>
  <c r="J211" i="9"/>
  <c r="I211" i="9"/>
  <c r="H211" i="9"/>
  <c r="G210" i="9"/>
  <c r="G209" i="9"/>
  <c r="G211" i="9"/>
  <c r="R205" i="9"/>
  <c r="Q205" i="9"/>
  <c r="P205" i="9"/>
  <c r="O205" i="9"/>
  <c r="N205" i="9"/>
  <c r="M205" i="9"/>
  <c r="L205" i="9"/>
  <c r="K205" i="9"/>
  <c r="J205" i="9"/>
  <c r="I205" i="9"/>
  <c r="H205" i="9"/>
  <c r="G204" i="9"/>
  <c r="G203" i="9"/>
  <c r="G205" i="9"/>
  <c r="R200" i="9"/>
  <c r="Q200" i="9"/>
  <c r="P200" i="9"/>
  <c r="O200" i="9"/>
  <c r="N200" i="9"/>
  <c r="M200" i="9"/>
  <c r="L200" i="9"/>
  <c r="K200" i="9"/>
  <c r="J200" i="9"/>
  <c r="I200" i="9"/>
  <c r="H200" i="9"/>
  <c r="G199" i="9"/>
  <c r="G198" i="9"/>
  <c r="G200" i="9"/>
  <c r="R194" i="9"/>
  <c r="Q194" i="9"/>
  <c r="P194" i="9"/>
  <c r="O194" i="9"/>
  <c r="N194" i="9"/>
  <c r="M194" i="9"/>
  <c r="L194" i="9"/>
  <c r="K194" i="9"/>
  <c r="J194" i="9"/>
  <c r="I194" i="9"/>
  <c r="H194" i="9"/>
  <c r="G193" i="9"/>
  <c r="G192" i="9"/>
  <c r="R189" i="9"/>
  <c r="Q189" i="9"/>
  <c r="P189" i="9"/>
  <c r="O189" i="9"/>
  <c r="N189" i="9"/>
  <c r="M189" i="9"/>
  <c r="L189" i="9"/>
  <c r="K189" i="9"/>
  <c r="J189" i="9"/>
  <c r="G188" i="9"/>
  <c r="G187" i="9"/>
  <c r="G189" i="9"/>
  <c r="R184" i="9"/>
  <c r="Q184" i="9"/>
  <c r="P184" i="9"/>
  <c r="O184" i="9"/>
  <c r="N184" i="9"/>
  <c r="M184" i="9"/>
  <c r="L184" i="9"/>
  <c r="K184" i="9"/>
  <c r="J184" i="9"/>
  <c r="I184" i="9"/>
  <c r="H184" i="9"/>
  <c r="G183" i="9"/>
  <c r="G182" i="9"/>
  <c r="G226" i="9"/>
  <c r="G231" i="9"/>
  <c r="G184" i="9"/>
  <c r="P163" i="8"/>
  <c r="P72" i="8"/>
  <c r="O163" i="8"/>
  <c r="O72" i="8"/>
  <c r="E141" i="1"/>
  <c r="E139" i="1"/>
  <c r="E138" i="1"/>
  <c r="E137" i="1"/>
  <c r="E136" i="1"/>
  <c r="E135" i="1"/>
  <c r="E134" i="1"/>
  <c r="Q133" i="1"/>
  <c r="P133" i="1"/>
  <c r="O133" i="1"/>
  <c r="N133" i="1"/>
  <c r="M133" i="1"/>
  <c r="L133" i="1"/>
  <c r="K133" i="1"/>
  <c r="J133" i="1"/>
  <c r="I133" i="1"/>
  <c r="H133" i="1"/>
  <c r="G133" i="1"/>
  <c r="E133" i="1"/>
  <c r="F133" i="1"/>
  <c r="D133" i="1"/>
  <c r="C133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0" i="1"/>
  <c r="E129" i="1"/>
  <c r="D131" i="1"/>
  <c r="C131" i="1"/>
  <c r="E128" i="1"/>
  <c r="Q127" i="1"/>
  <c r="P127" i="1"/>
  <c r="P126" i="1"/>
  <c r="F126" i="1"/>
  <c r="G126" i="1"/>
  <c r="H126" i="1"/>
  <c r="I126" i="1"/>
  <c r="J126" i="1"/>
  <c r="K126" i="1"/>
  <c r="L126" i="1"/>
  <c r="M126" i="1"/>
  <c r="N126" i="1"/>
  <c r="O126" i="1"/>
  <c r="Q126" i="1"/>
  <c r="D126" i="1"/>
  <c r="C126" i="1"/>
  <c r="E124" i="1"/>
  <c r="E123" i="1"/>
  <c r="E122" i="1"/>
  <c r="E121" i="1"/>
  <c r="E120" i="1"/>
  <c r="E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E115" i="1"/>
  <c r="E114" i="1"/>
  <c r="P109" i="1"/>
  <c r="O109" i="1"/>
  <c r="N109" i="1"/>
  <c r="P106" i="1"/>
  <c r="O106" i="1"/>
  <c r="N106" i="1"/>
  <c r="M106" i="1"/>
  <c r="L106" i="1"/>
  <c r="K106" i="1"/>
  <c r="J106" i="1"/>
  <c r="I106" i="1"/>
  <c r="H106" i="1"/>
  <c r="G106" i="1"/>
  <c r="F106" i="1"/>
  <c r="Q101" i="1"/>
  <c r="Q103" i="1"/>
  <c r="Q102" i="1"/>
  <c r="P103" i="1"/>
  <c r="O103" i="1"/>
  <c r="N103" i="1"/>
  <c r="M103" i="1"/>
  <c r="L103" i="1"/>
  <c r="K103" i="1"/>
  <c r="J103" i="1"/>
  <c r="I103" i="1"/>
  <c r="H103" i="1"/>
  <c r="G103" i="1"/>
  <c r="F103" i="1"/>
  <c r="G93" i="1"/>
  <c r="H93" i="1"/>
  <c r="I93" i="1"/>
  <c r="J93" i="1"/>
  <c r="K93" i="1"/>
  <c r="L93" i="1"/>
  <c r="M93" i="1"/>
  <c r="N93" i="1"/>
  <c r="O93" i="1"/>
  <c r="P93" i="1"/>
  <c r="Q93" i="1"/>
  <c r="G90" i="1"/>
  <c r="H90" i="1"/>
  <c r="I90" i="1"/>
  <c r="J90" i="1"/>
  <c r="K90" i="1"/>
  <c r="L90" i="1"/>
  <c r="M90" i="1"/>
  <c r="N90" i="1"/>
  <c r="O90" i="1"/>
  <c r="P90" i="1"/>
  <c r="Q90" i="1"/>
  <c r="E87" i="1"/>
  <c r="Q86" i="1"/>
  <c r="P86" i="1"/>
  <c r="O86" i="1"/>
  <c r="N86" i="1"/>
  <c r="M86" i="1"/>
  <c r="L86" i="1"/>
  <c r="K86" i="1"/>
  <c r="J86" i="1"/>
  <c r="J79" i="1"/>
  <c r="I86" i="1"/>
  <c r="H86" i="1"/>
  <c r="G86" i="1"/>
  <c r="F86" i="1"/>
  <c r="E86" i="1"/>
  <c r="D86" i="1"/>
  <c r="C86" i="1"/>
  <c r="Q85" i="1"/>
  <c r="E85" i="1"/>
  <c r="P85" i="1"/>
  <c r="P80" i="1"/>
  <c r="P81" i="1"/>
  <c r="P83" i="1"/>
  <c r="P79" i="1"/>
  <c r="P84" i="1"/>
  <c r="O85" i="1"/>
  <c r="M85" i="1"/>
  <c r="L85" i="1"/>
  <c r="K85" i="1"/>
  <c r="G85" i="1"/>
  <c r="D85" i="1"/>
  <c r="C85" i="1"/>
  <c r="Q84" i="1"/>
  <c r="O84" i="1"/>
  <c r="N84" i="1"/>
  <c r="M84" i="1"/>
  <c r="L84" i="1"/>
  <c r="K84" i="1"/>
  <c r="J84" i="1"/>
  <c r="I84" i="1"/>
  <c r="H84" i="1"/>
  <c r="G84" i="1"/>
  <c r="E84" i="1"/>
  <c r="F84" i="1"/>
  <c r="D84" i="1"/>
  <c r="C84" i="1"/>
  <c r="Q83" i="1"/>
  <c r="O83" i="1"/>
  <c r="N83" i="1"/>
  <c r="M83" i="1"/>
  <c r="E83" i="1"/>
  <c r="L83" i="1"/>
  <c r="K83" i="1"/>
  <c r="K80" i="1"/>
  <c r="K81" i="1"/>
  <c r="K82" i="1"/>
  <c r="J83" i="1"/>
  <c r="I83" i="1"/>
  <c r="I80" i="1"/>
  <c r="I81" i="1"/>
  <c r="I82" i="1"/>
  <c r="I79" i="1"/>
  <c r="H83" i="1"/>
  <c r="G83" i="1"/>
  <c r="F83" i="1"/>
  <c r="D83" i="1"/>
  <c r="C83" i="1"/>
  <c r="Q82" i="1"/>
  <c r="O82" i="1"/>
  <c r="N82" i="1"/>
  <c r="L82" i="1"/>
  <c r="J82" i="1"/>
  <c r="H82" i="1"/>
  <c r="G82" i="1"/>
  <c r="F82" i="1"/>
  <c r="D82" i="1"/>
  <c r="C82" i="1"/>
  <c r="Q81" i="1"/>
  <c r="O81" i="1"/>
  <c r="N81" i="1"/>
  <c r="M81" i="1"/>
  <c r="L81" i="1"/>
  <c r="H81" i="1"/>
  <c r="H80" i="1"/>
  <c r="H79" i="1"/>
  <c r="G81" i="1"/>
  <c r="F81" i="1"/>
  <c r="D81" i="1"/>
  <c r="D80" i="1"/>
  <c r="C81" i="1"/>
  <c r="Q80" i="1"/>
  <c r="O80" i="1"/>
  <c r="O79" i="1"/>
  <c r="N80" i="1"/>
  <c r="M80" i="1"/>
  <c r="L80" i="1"/>
  <c r="L79" i="1"/>
  <c r="J80" i="1"/>
  <c r="G80" i="1"/>
  <c r="F80" i="1"/>
  <c r="C80" i="1"/>
  <c r="C79" i="1"/>
  <c r="G75" i="1"/>
  <c r="H75" i="1"/>
  <c r="I75" i="1"/>
  <c r="J75" i="1"/>
  <c r="K75" i="1"/>
  <c r="L75" i="1"/>
  <c r="M75" i="1"/>
  <c r="N75" i="1"/>
  <c r="O75" i="1"/>
  <c r="P75" i="1"/>
  <c r="Q75" i="1"/>
  <c r="Q74" i="1"/>
  <c r="P74" i="1"/>
  <c r="E74" i="1"/>
  <c r="Q71" i="1"/>
  <c r="P71" i="1"/>
  <c r="L71" i="1"/>
  <c r="G68" i="1"/>
  <c r="H68" i="1"/>
  <c r="I68" i="1"/>
  <c r="J68" i="1"/>
  <c r="K68" i="1"/>
  <c r="L68" i="1"/>
  <c r="M68" i="1"/>
  <c r="N68" i="1"/>
  <c r="O68" i="1"/>
  <c r="P68" i="1"/>
  <c r="Q68" i="1"/>
  <c r="Q67" i="1"/>
  <c r="P67" i="1"/>
  <c r="G64" i="1"/>
  <c r="H64" i="1"/>
  <c r="I64" i="1"/>
  <c r="J64" i="1"/>
  <c r="K64" i="1"/>
  <c r="L64" i="1"/>
  <c r="M64" i="1"/>
  <c r="N64" i="1"/>
  <c r="O64" i="1"/>
  <c r="P64" i="1"/>
  <c r="Q64" i="1"/>
  <c r="G60" i="1"/>
  <c r="H60" i="1"/>
  <c r="I60" i="1"/>
  <c r="J60" i="1"/>
  <c r="K60" i="1"/>
  <c r="L60" i="1"/>
  <c r="M60" i="1"/>
  <c r="N60" i="1"/>
  <c r="O60" i="1"/>
  <c r="P60" i="1"/>
  <c r="Q60" i="1"/>
  <c r="M56" i="1"/>
  <c r="N56" i="1"/>
  <c r="O56" i="1"/>
  <c r="P56" i="1"/>
  <c r="Q56" i="1"/>
  <c r="E55" i="1"/>
  <c r="E54" i="1"/>
  <c r="E51" i="1"/>
  <c r="K50" i="1"/>
  <c r="I50" i="1"/>
  <c r="J50" i="1"/>
  <c r="E49" i="1"/>
  <c r="J48" i="1"/>
  <c r="I48" i="1"/>
  <c r="E48" i="1"/>
  <c r="E47" i="1"/>
  <c r="E46" i="1"/>
  <c r="E44" i="1"/>
  <c r="G40" i="1"/>
  <c r="H40" i="1"/>
  <c r="I40" i="1"/>
  <c r="J40" i="1"/>
  <c r="K40" i="1"/>
  <c r="L40" i="1"/>
  <c r="M40" i="1"/>
  <c r="N40" i="1"/>
  <c r="O40" i="1"/>
  <c r="P40" i="1"/>
  <c r="Q40" i="1"/>
  <c r="E38" i="1"/>
  <c r="E37" i="1"/>
  <c r="E34" i="1"/>
  <c r="E33" i="1"/>
  <c r="E32" i="1"/>
  <c r="E30" i="1"/>
  <c r="E29" i="1"/>
  <c r="E28" i="1"/>
  <c r="E27" i="1"/>
  <c r="E26" i="1"/>
  <c r="E25" i="1"/>
  <c r="Q23" i="1"/>
  <c r="P23" i="1"/>
  <c r="O23" i="1"/>
  <c r="N23" i="1"/>
  <c r="M23" i="1"/>
  <c r="L23" i="1"/>
  <c r="K23" i="1"/>
  <c r="J23" i="1"/>
  <c r="I23" i="1"/>
  <c r="H23" i="1"/>
  <c r="E23" i="1"/>
  <c r="G23" i="1"/>
  <c r="F23" i="1"/>
  <c r="E22" i="1"/>
  <c r="Q15" i="1"/>
  <c r="P15" i="1"/>
  <c r="O15" i="1"/>
  <c r="N15" i="1"/>
  <c r="M15" i="1"/>
  <c r="L15" i="1"/>
  <c r="K15" i="1"/>
  <c r="J15" i="1"/>
  <c r="I15" i="1"/>
  <c r="H15" i="1"/>
  <c r="G15" i="1"/>
  <c r="F15" i="1"/>
  <c r="E13" i="1"/>
  <c r="P12" i="1"/>
  <c r="E12" i="1"/>
  <c r="E11" i="1"/>
  <c r="E10" i="1"/>
  <c r="Q8" i="1"/>
  <c r="E8" i="1"/>
  <c r="E7" i="1"/>
  <c r="E6" i="1"/>
  <c r="Q144" i="5"/>
  <c r="P144" i="5"/>
  <c r="O144" i="5"/>
  <c r="N144" i="5"/>
  <c r="M144" i="5"/>
  <c r="L144" i="5"/>
  <c r="K144" i="5"/>
  <c r="J144" i="5"/>
  <c r="I144" i="5"/>
  <c r="H144" i="5"/>
  <c r="G144" i="5"/>
  <c r="F144" i="5"/>
  <c r="E140" i="5"/>
  <c r="E138" i="5"/>
  <c r="E137" i="5"/>
  <c r="E136" i="5"/>
  <c r="E135" i="5"/>
  <c r="E134" i="5"/>
  <c r="E133" i="5"/>
  <c r="Q132" i="5"/>
  <c r="P132" i="5"/>
  <c r="O132" i="5"/>
  <c r="N132" i="5"/>
  <c r="M132" i="5"/>
  <c r="L132" i="5"/>
  <c r="K132" i="5"/>
  <c r="J132" i="5"/>
  <c r="I132" i="5"/>
  <c r="H132" i="5"/>
  <c r="F132" i="5"/>
  <c r="G132" i="5"/>
  <c r="D132" i="5"/>
  <c r="C132" i="5"/>
  <c r="Q130" i="5"/>
  <c r="P130" i="5"/>
  <c r="O130" i="5"/>
  <c r="N130" i="5"/>
  <c r="M130" i="5"/>
  <c r="L130" i="5"/>
  <c r="K130" i="5"/>
  <c r="J130" i="5"/>
  <c r="H130" i="5"/>
  <c r="G130" i="5"/>
  <c r="F130" i="5"/>
  <c r="E129" i="5"/>
  <c r="E130" i="5"/>
  <c r="E128" i="5"/>
  <c r="D130" i="5"/>
  <c r="C130" i="5"/>
  <c r="E127" i="5"/>
  <c r="Q126" i="5"/>
  <c r="P126" i="5"/>
  <c r="P125" i="5"/>
  <c r="O126" i="5"/>
  <c r="O125" i="5"/>
  <c r="N126" i="5"/>
  <c r="M126" i="5"/>
  <c r="L126" i="5"/>
  <c r="L125" i="5"/>
  <c r="K126" i="5"/>
  <c r="J126" i="5"/>
  <c r="J125" i="5"/>
  <c r="I126" i="5"/>
  <c r="I125" i="5"/>
  <c r="H126" i="5"/>
  <c r="G126" i="5"/>
  <c r="F126" i="5"/>
  <c r="F125" i="5"/>
  <c r="E125" i="5"/>
  <c r="Q125" i="5"/>
  <c r="N125" i="5"/>
  <c r="M125" i="5"/>
  <c r="K125" i="5"/>
  <c r="G125" i="5"/>
  <c r="D125" i="5"/>
  <c r="C125" i="5"/>
  <c r="E123" i="5"/>
  <c r="E122" i="5"/>
  <c r="E121" i="5"/>
  <c r="E120" i="5"/>
  <c r="E119" i="5"/>
  <c r="E118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E114" i="5"/>
  <c r="E113" i="5"/>
  <c r="Q108" i="5"/>
  <c r="P108" i="5"/>
  <c r="O108" i="5"/>
  <c r="N108" i="5"/>
  <c r="L108" i="5"/>
  <c r="K108" i="5"/>
  <c r="J108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0" i="5"/>
  <c r="Q101" i="5"/>
  <c r="Q102" i="5"/>
  <c r="P100" i="5"/>
  <c r="P102" i="5"/>
  <c r="P101" i="5"/>
  <c r="O100" i="5"/>
  <c r="O102" i="5"/>
  <c r="O101" i="5"/>
  <c r="N100" i="5"/>
  <c r="N101" i="5"/>
  <c r="N102" i="5"/>
  <c r="M100" i="5"/>
  <c r="M101" i="5"/>
  <c r="M102" i="5"/>
  <c r="L100" i="5"/>
  <c r="L102" i="5"/>
  <c r="L101" i="5"/>
  <c r="K100" i="5"/>
  <c r="K102" i="5"/>
  <c r="J100" i="5"/>
  <c r="J102" i="5"/>
  <c r="I100" i="5"/>
  <c r="I102" i="5"/>
  <c r="H100" i="5"/>
  <c r="H102" i="5"/>
  <c r="G100" i="5"/>
  <c r="G102" i="5"/>
  <c r="F100" i="5"/>
  <c r="F101" i="5"/>
  <c r="I89" i="5"/>
  <c r="J89" i="5"/>
  <c r="K89" i="5"/>
  <c r="L89" i="5"/>
  <c r="M89" i="5"/>
  <c r="N89" i="5"/>
  <c r="O89" i="5"/>
  <c r="P89" i="5"/>
  <c r="Q89" i="5"/>
  <c r="E86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Q84" i="5"/>
  <c r="P84" i="5"/>
  <c r="O84" i="5"/>
  <c r="N84" i="5"/>
  <c r="M84" i="5"/>
  <c r="L84" i="5"/>
  <c r="K84" i="5"/>
  <c r="J84" i="5"/>
  <c r="I84" i="5"/>
  <c r="H84" i="5"/>
  <c r="G84" i="5"/>
  <c r="E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Q82" i="5"/>
  <c r="P82" i="5"/>
  <c r="O82" i="5"/>
  <c r="N82" i="5"/>
  <c r="M82" i="5"/>
  <c r="L82" i="5"/>
  <c r="K82" i="5"/>
  <c r="J82" i="5"/>
  <c r="I82" i="5"/>
  <c r="H82" i="5"/>
  <c r="F82" i="5"/>
  <c r="G82" i="5"/>
  <c r="E82" i="5"/>
  <c r="Q81" i="5"/>
  <c r="P81" i="5"/>
  <c r="O81" i="5"/>
  <c r="O79" i="5"/>
  <c r="O80" i="5"/>
  <c r="N81" i="5"/>
  <c r="M81" i="5"/>
  <c r="L81" i="5"/>
  <c r="K81" i="5"/>
  <c r="J81" i="5"/>
  <c r="I81" i="5"/>
  <c r="I78" i="5"/>
  <c r="H81" i="5"/>
  <c r="G81" i="5"/>
  <c r="F81" i="5"/>
  <c r="E81" i="5"/>
  <c r="Q80" i="5"/>
  <c r="P80" i="5"/>
  <c r="N80" i="5"/>
  <c r="N78" i="5"/>
  <c r="M80" i="5"/>
  <c r="L80" i="5"/>
  <c r="L79" i="5"/>
  <c r="L78" i="5"/>
  <c r="K80" i="5"/>
  <c r="J80" i="5"/>
  <c r="I80" i="5"/>
  <c r="H80" i="5"/>
  <c r="G80" i="5"/>
  <c r="E80" i="5"/>
  <c r="F80" i="5"/>
  <c r="Q79" i="5"/>
  <c r="P79" i="5"/>
  <c r="P78" i="5"/>
  <c r="N79" i="5"/>
  <c r="M79" i="5"/>
  <c r="K79" i="5"/>
  <c r="K78" i="5"/>
  <c r="J79" i="5"/>
  <c r="I79" i="5"/>
  <c r="H79" i="5"/>
  <c r="E79" i="5"/>
  <c r="H78" i="5"/>
  <c r="G79" i="5"/>
  <c r="F79" i="5"/>
  <c r="G74" i="5"/>
  <c r="O73" i="5"/>
  <c r="N73" i="5"/>
  <c r="M73" i="5"/>
  <c r="L73" i="5"/>
  <c r="K73" i="5"/>
  <c r="J73" i="5"/>
  <c r="I73" i="5"/>
  <c r="H73" i="5"/>
  <c r="F73" i="5"/>
  <c r="E73" i="5"/>
  <c r="G73" i="5"/>
  <c r="P70" i="5"/>
  <c r="O70" i="5"/>
  <c r="K70" i="5"/>
  <c r="J70" i="5"/>
  <c r="I70" i="5"/>
  <c r="H70" i="5"/>
  <c r="G70" i="5"/>
  <c r="F70" i="5"/>
  <c r="G67" i="5"/>
  <c r="H67" i="5"/>
  <c r="I67" i="5"/>
  <c r="Q66" i="5"/>
  <c r="P66" i="5"/>
  <c r="O66" i="5"/>
  <c r="N66" i="5"/>
  <c r="M66" i="5"/>
  <c r="L66" i="5"/>
  <c r="K66" i="5"/>
  <c r="J66" i="5"/>
  <c r="I66" i="5"/>
  <c r="H66" i="5"/>
  <c r="G66" i="5"/>
  <c r="F66" i="5"/>
  <c r="G63" i="5"/>
  <c r="H63" i="5"/>
  <c r="I63" i="5"/>
  <c r="J63" i="5"/>
  <c r="K63" i="5"/>
  <c r="L63" i="5"/>
  <c r="M63" i="5"/>
  <c r="N63" i="5"/>
  <c r="O63" i="5"/>
  <c r="P63" i="5"/>
  <c r="Q63" i="5"/>
  <c r="G59" i="5"/>
  <c r="H59" i="5"/>
  <c r="I59" i="5"/>
  <c r="J59" i="5"/>
  <c r="K59" i="5"/>
  <c r="L59" i="5"/>
  <c r="M59" i="5"/>
  <c r="G55" i="5"/>
  <c r="E54" i="5"/>
  <c r="E53" i="5"/>
  <c r="J50" i="5"/>
  <c r="E50" i="5"/>
  <c r="J49" i="5"/>
  <c r="E49" i="5"/>
  <c r="E48" i="5"/>
  <c r="E47" i="5"/>
  <c r="Q46" i="5"/>
  <c r="E46" i="5"/>
  <c r="Q45" i="5"/>
  <c r="P45" i="5"/>
  <c r="E45" i="5"/>
  <c r="E43" i="5"/>
  <c r="H39" i="5"/>
  <c r="I39" i="5"/>
  <c r="J39" i="5"/>
  <c r="K39" i="5"/>
  <c r="L39" i="5"/>
  <c r="M39" i="5"/>
  <c r="N39" i="5"/>
  <c r="O39" i="5"/>
  <c r="P39" i="5"/>
  <c r="Q39" i="5"/>
  <c r="E37" i="5"/>
  <c r="E36" i="5"/>
  <c r="E33" i="5"/>
  <c r="E32" i="5"/>
  <c r="E31" i="5"/>
  <c r="E29" i="5"/>
  <c r="E28" i="5"/>
  <c r="E27" i="5"/>
  <c r="E26" i="5"/>
  <c r="E25" i="5"/>
  <c r="E24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Q14" i="5"/>
  <c r="R21" i="5"/>
  <c r="P14" i="5"/>
  <c r="O14" i="5"/>
  <c r="N14" i="5"/>
  <c r="M14" i="5"/>
  <c r="M21" i="5"/>
  <c r="N21" i="5"/>
  <c r="L14" i="5"/>
  <c r="O21" i="5"/>
  <c r="K14" i="5"/>
  <c r="L21" i="5"/>
  <c r="J14" i="5"/>
  <c r="I14" i="5"/>
  <c r="H14" i="5"/>
  <c r="H21" i="5"/>
  <c r="G14" i="5"/>
  <c r="F14" i="5"/>
  <c r="E12" i="5"/>
  <c r="F11" i="5"/>
  <c r="E11" i="5"/>
  <c r="E10" i="5"/>
  <c r="E9" i="5"/>
  <c r="Q8" i="5"/>
  <c r="P8" i="5"/>
  <c r="O8" i="5"/>
  <c r="N8" i="5"/>
  <c r="M8" i="5"/>
  <c r="L8" i="5"/>
  <c r="K8" i="5"/>
  <c r="J8" i="5"/>
  <c r="I8" i="5"/>
  <c r="H8" i="5"/>
  <c r="G8" i="5"/>
  <c r="E8" i="5"/>
  <c r="F8" i="5"/>
  <c r="E7" i="5"/>
  <c r="E6" i="5"/>
  <c r="Q224" i="2"/>
  <c r="P224" i="2"/>
  <c r="O224" i="2"/>
  <c r="N224" i="2"/>
  <c r="M224" i="2"/>
  <c r="L224" i="2"/>
  <c r="K224" i="2"/>
  <c r="J224" i="2"/>
  <c r="I224" i="2"/>
  <c r="H224" i="2"/>
  <c r="G224" i="2"/>
  <c r="F224" i="2"/>
  <c r="E222" i="2"/>
  <c r="E223" i="2"/>
  <c r="E224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7" i="2"/>
  <c r="E219" i="2"/>
  <c r="E218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2" i="2"/>
  <c r="E214" i="2"/>
  <c r="E213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7" i="2"/>
  <c r="E208" i="2"/>
  <c r="E209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2" i="2"/>
  <c r="E203" i="2"/>
  <c r="E204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7" i="2"/>
  <c r="E199" i="2"/>
  <c r="E198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1" i="2"/>
  <c r="E192" i="2"/>
  <c r="E193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6" i="2"/>
  <c r="E187" i="2"/>
  <c r="E188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0" i="2"/>
  <c r="E182" i="2"/>
  <c r="E181" i="2"/>
  <c r="Q177" i="2"/>
  <c r="P177" i="2"/>
  <c r="O175" i="2"/>
  <c r="O177" i="2"/>
  <c r="N177" i="2"/>
  <c r="M177" i="2"/>
  <c r="L175" i="2"/>
  <c r="L177" i="2"/>
  <c r="K175" i="2"/>
  <c r="K177" i="2"/>
  <c r="J175" i="2"/>
  <c r="J177" i="2"/>
  <c r="I175" i="2"/>
  <c r="I177" i="2"/>
  <c r="H175" i="2"/>
  <c r="H177" i="2"/>
  <c r="E175" i="2"/>
  <c r="E176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0" i="2"/>
  <c r="E171" i="2"/>
  <c r="E172" i="2"/>
  <c r="Q165" i="2"/>
  <c r="P165" i="2"/>
  <c r="O165" i="2"/>
  <c r="N165" i="2"/>
  <c r="M165" i="2"/>
  <c r="L165" i="2"/>
  <c r="K165" i="2"/>
  <c r="I165" i="2"/>
  <c r="H165" i="2"/>
  <c r="F165" i="2"/>
  <c r="E161" i="2"/>
  <c r="E159" i="2"/>
  <c r="E158" i="2"/>
  <c r="E157" i="2"/>
  <c r="E156" i="2"/>
  <c r="E155" i="2"/>
  <c r="E154" i="2"/>
  <c r="Q153" i="2"/>
  <c r="P153" i="2"/>
  <c r="O153" i="2"/>
  <c r="N153" i="2"/>
  <c r="M153" i="2"/>
  <c r="L153" i="2"/>
  <c r="K153" i="2"/>
  <c r="J153" i="2"/>
  <c r="I153" i="2"/>
  <c r="H153" i="2"/>
  <c r="G153" i="2"/>
  <c r="E153" i="2"/>
  <c r="F153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0" i="2"/>
  <c r="E151" i="2"/>
  <c r="E149" i="2"/>
  <c r="F148" i="2"/>
  <c r="E148" i="2"/>
  <c r="Q147" i="2"/>
  <c r="Q146" i="2"/>
  <c r="E146" i="2"/>
  <c r="P147" i="2"/>
  <c r="O147" i="2"/>
  <c r="O146" i="2"/>
  <c r="N147" i="2"/>
  <c r="N146" i="2"/>
  <c r="M147" i="2"/>
  <c r="M146" i="2"/>
  <c r="L147" i="2"/>
  <c r="L146" i="2"/>
  <c r="K147" i="2"/>
  <c r="K146" i="2"/>
  <c r="F147" i="2"/>
  <c r="F146" i="2"/>
  <c r="G147" i="2"/>
  <c r="G146" i="2"/>
  <c r="H147" i="2"/>
  <c r="H146" i="2"/>
  <c r="I147" i="2"/>
  <c r="I146" i="2"/>
  <c r="J147" i="2"/>
  <c r="J146" i="2"/>
  <c r="P146" i="2"/>
  <c r="E144" i="2"/>
  <c r="E143" i="2"/>
  <c r="E142" i="2"/>
  <c r="E141" i="2"/>
  <c r="E140" i="2"/>
  <c r="E139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E135" i="2"/>
  <c r="E134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Q119" i="2"/>
  <c r="Q122" i="2"/>
  <c r="P119" i="2"/>
  <c r="P122" i="2"/>
  <c r="O119" i="2"/>
  <c r="O122" i="2"/>
  <c r="N119" i="2"/>
  <c r="N122" i="2"/>
  <c r="M119" i="2"/>
  <c r="M122" i="2"/>
  <c r="L119" i="2"/>
  <c r="L120" i="2"/>
  <c r="L122" i="2"/>
  <c r="K119" i="2"/>
  <c r="K122" i="2"/>
  <c r="K120" i="2"/>
  <c r="J119" i="2"/>
  <c r="J122" i="2"/>
  <c r="J120" i="2"/>
  <c r="I119" i="2"/>
  <c r="I120" i="2"/>
  <c r="I122" i="2"/>
  <c r="H119" i="2"/>
  <c r="H120" i="2"/>
  <c r="H122" i="2"/>
  <c r="G119" i="2"/>
  <c r="G122" i="2"/>
  <c r="G120" i="2"/>
  <c r="F119" i="2"/>
  <c r="F120" i="2"/>
  <c r="J110" i="2"/>
  <c r="K110" i="2"/>
  <c r="K105" i="2"/>
  <c r="E102" i="2"/>
  <c r="Q101" i="2"/>
  <c r="P101" i="2"/>
  <c r="O101" i="2"/>
  <c r="N101" i="2"/>
  <c r="N95" i="2"/>
  <c r="N96" i="2"/>
  <c r="N97" i="2"/>
  <c r="N99" i="2"/>
  <c r="M101" i="2"/>
  <c r="L101" i="2"/>
  <c r="K101" i="2"/>
  <c r="J101" i="2"/>
  <c r="I101" i="2"/>
  <c r="H101" i="2"/>
  <c r="G101" i="2"/>
  <c r="F101" i="2"/>
  <c r="E101" i="2"/>
  <c r="H100" i="2"/>
  <c r="E100" i="2"/>
  <c r="G100" i="2"/>
  <c r="F100" i="2"/>
  <c r="Q99" i="2"/>
  <c r="Q95" i="2"/>
  <c r="Q96" i="2"/>
  <c r="O99" i="2"/>
  <c r="I99" i="2"/>
  <c r="E99" i="2"/>
  <c r="G99" i="2"/>
  <c r="F99" i="2"/>
  <c r="P98" i="2"/>
  <c r="O98" i="2"/>
  <c r="K98" i="2"/>
  <c r="J98" i="2"/>
  <c r="I98" i="2"/>
  <c r="H98" i="2"/>
  <c r="H94" i="2"/>
  <c r="G98" i="2"/>
  <c r="F98" i="2"/>
  <c r="P97" i="2"/>
  <c r="O97" i="2"/>
  <c r="L97" i="2"/>
  <c r="K97" i="2"/>
  <c r="K95" i="2"/>
  <c r="K94" i="2"/>
  <c r="J97" i="2"/>
  <c r="I97" i="2"/>
  <c r="H97" i="2"/>
  <c r="G97" i="2"/>
  <c r="F97" i="2"/>
  <c r="P96" i="2"/>
  <c r="P95" i="2"/>
  <c r="O96" i="2"/>
  <c r="M96" i="2"/>
  <c r="L96" i="2"/>
  <c r="L94" i="2"/>
  <c r="L95" i="2"/>
  <c r="J96" i="2"/>
  <c r="H96" i="2"/>
  <c r="F96" i="2"/>
  <c r="G96" i="2"/>
  <c r="E96" i="2"/>
  <c r="O95" i="2"/>
  <c r="M95" i="2"/>
  <c r="J95" i="2"/>
  <c r="I95" i="2"/>
  <c r="H95" i="2"/>
  <c r="G95" i="2"/>
  <c r="G94" i="2"/>
  <c r="F95" i="2"/>
  <c r="F94" i="2"/>
  <c r="O87" i="2"/>
  <c r="E86" i="2"/>
  <c r="L85" i="2"/>
  <c r="K85" i="2"/>
  <c r="E85" i="2"/>
  <c r="J85" i="2"/>
  <c r="I85" i="2"/>
  <c r="Q77" i="2"/>
  <c r="P77" i="2"/>
  <c r="O77" i="2"/>
  <c r="N77" i="2"/>
  <c r="M77" i="2"/>
  <c r="L77" i="2"/>
  <c r="K77" i="2"/>
  <c r="J77" i="2"/>
  <c r="I77" i="2"/>
  <c r="H77" i="2"/>
  <c r="G77" i="2"/>
  <c r="F77" i="2"/>
  <c r="Q74" i="2"/>
  <c r="P74" i="2"/>
  <c r="O74" i="2"/>
  <c r="N74" i="2"/>
  <c r="M74" i="2"/>
  <c r="L74" i="2"/>
  <c r="K74" i="2"/>
  <c r="J74" i="2"/>
  <c r="I74" i="2"/>
  <c r="H74" i="2"/>
  <c r="E65" i="2"/>
  <c r="E64" i="2"/>
  <c r="J61" i="2"/>
  <c r="I61" i="2"/>
  <c r="E61" i="2"/>
  <c r="J60" i="2"/>
  <c r="I60" i="2"/>
  <c r="E60" i="2"/>
  <c r="J59" i="2"/>
  <c r="I59" i="2"/>
  <c r="E59" i="2"/>
  <c r="J58" i="2"/>
  <c r="E58" i="2"/>
  <c r="I58" i="2"/>
  <c r="Q57" i="2"/>
  <c r="E57" i="2"/>
  <c r="Q56" i="2"/>
  <c r="E56" i="2"/>
  <c r="E54" i="2"/>
  <c r="E48" i="2"/>
  <c r="E47" i="2"/>
  <c r="E44" i="2"/>
  <c r="E43" i="2"/>
  <c r="E42" i="2"/>
  <c r="E40" i="2"/>
  <c r="E39" i="2"/>
  <c r="E38" i="2"/>
  <c r="E37" i="2"/>
  <c r="E36" i="2"/>
  <c r="E35" i="2"/>
  <c r="Q33" i="2"/>
  <c r="P33" i="2"/>
  <c r="O33" i="2"/>
  <c r="N33" i="2"/>
  <c r="M33" i="2"/>
  <c r="L33" i="2"/>
  <c r="K33" i="2"/>
  <c r="J33" i="2"/>
  <c r="I33" i="2"/>
  <c r="H33" i="2"/>
  <c r="G33" i="2"/>
  <c r="F33" i="2"/>
  <c r="E32" i="2"/>
  <c r="Q25" i="2"/>
  <c r="P25" i="2"/>
  <c r="O25" i="2"/>
  <c r="N25" i="2"/>
  <c r="M25" i="2"/>
  <c r="L25" i="2"/>
  <c r="K25" i="2"/>
  <c r="J25" i="2"/>
  <c r="I25" i="2"/>
  <c r="H25" i="2"/>
  <c r="G25" i="2"/>
  <c r="F25" i="2"/>
  <c r="E12" i="2"/>
  <c r="E11" i="2"/>
  <c r="E10" i="2"/>
  <c r="E9" i="2"/>
  <c r="Q8" i="2"/>
  <c r="P8" i="2"/>
  <c r="O8" i="2"/>
  <c r="N8" i="2"/>
  <c r="M8" i="2"/>
  <c r="L8" i="2"/>
  <c r="K8" i="2"/>
  <c r="J8" i="2"/>
  <c r="I8" i="2"/>
  <c r="H8" i="2"/>
  <c r="G8" i="2"/>
  <c r="F8" i="2"/>
  <c r="E7" i="2"/>
  <c r="E6" i="2"/>
  <c r="Q237" i="6"/>
  <c r="P237" i="6"/>
  <c r="O237" i="6"/>
  <c r="N237" i="6"/>
  <c r="M237" i="6"/>
  <c r="L237" i="6"/>
  <c r="K237" i="6"/>
  <c r="J237" i="6"/>
  <c r="I237" i="6"/>
  <c r="H237" i="6"/>
  <c r="G237" i="6"/>
  <c r="F237" i="6"/>
  <c r="E235" i="6"/>
  <c r="E236" i="6"/>
  <c r="Q232" i="6"/>
  <c r="P232" i="6"/>
  <c r="O232" i="6"/>
  <c r="N232" i="6"/>
  <c r="M232" i="6"/>
  <c r="L232" i="6"/>
  <c r="K232" i="6"/>
  <c r="J232" i="6"/>
  <c r="I232" i="6"/>
  <c r="H232" i="6"/>
  <c r="G232" i="6"/>
  <c r="F232" i="6"/>
  <c r="E230" i="6"/>
  <c r="E231" i="6"/>
  <c r="Q227" i="6"/>
  <c r="P227" i="6"/>
  <c r="O227" i="6"/>
  <c r="N227" i="6"/>
  <c r="M227" i="6"/>
  <c r="L227" i="6"/>
  <c r="K227" i="6"/>
  <c r="J227" i="6"/>
  <c r="I227" i="6"/>
  <c r="H227" i="6"/>
  <c r="G227" i="6"/>
  <c r="F227" i="6"/>
  <c r="E225" i="6"/>
  <c r="E226" i="6"/>
  <c r="E227" i="6"/>
  <c r="Q222" i="6"/>
  <c r="P222" i="6"/>
  <c r="O222" i="6"/>
  <c r="N222" i="6"/>
  <c r="M222" i="6"/>
  <c r="L222" i="6"/>
  <c r="K222" i="6"/>
  <c r="J222" i="6"/>
  <c r="I222" i="6"/>
  <c r="H222" i="6"/>
  <c r="G222" i="6"/>
  <c r="F222" i="6"/>
  <c r="E220" i="6"/>
  <c r="E221" i="6"/>
  <c r="E222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E215" i="6"/>
  <c r="E217" i="6"/>
  <c r="E216" i="6"/>
  <c r="Q212" i="6"/>
  <c r="P212" i="6"/>
  <c r="O212" i="6"/>
  <c r="N212" i="6"/>
  <c r="M212" i="6"/>
  <c r="L212" i="6"/>
  <c r="K212" i="6"/>
  <c r="J212" i="6"/>
  <c r="I212" i="6"/>
  <c r="H212" i="6"/>
  <c r="G212" i="6"/>
  <c r="F212" i="6"/>
  <c r="E210" i="6"/>
  <c r="E211" i="6"/>
  <c r="Q206" i="6"/>
  <c r="P206" i="6"/>
  <c r="O206" i="6"/>
  <c r="N206" i="6"/>
  <c r="M206" i="6"/>
  <c r="L206" i="6"/>
  <c r="K206" i="6"/>
  <c r="J206" i="6"/>
  <c r="I206" i="6"/>
  <c r="H206" i="6"/>
  <c r="G206" i="6"/>
  <c r="F206" i="6"/>
  <c r="E204" i="6"/>
  <c r="E205" i="6"/>
  <c r="E206" i="6"/>
  <c r="Q201" i="6"/>
  <c r="P201" i="6"/>
  <c r="O201" i="6"/>
  <c r="N201" i="6"/>
  <c r="M201" i="6"/>
  <c r="L201" i="6"/>
  <c r="K201" i="6"/>
  <c r="J201" i="6"/>
  <c r="I201" i="6"/>
  <c r="H201" i="6"/>
  <c r="G201" i="6"/>
  <c r="F201" i="6"/>
  <c r="E199" i="6"/>
  <c r="E200" i="6"/>
  <c r="E201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3" i="6"/>
  <c r="E195" i="6"/>
  <c r="E194" i="6"/>
  <c r="Q190" i="6"/>
  <c r="P190" i="6"/>
  <c r="O190" i="6"/>
  <c r="N190" i="6"/>
  <c r="M190" i="6"/>
  <c r="L190" i="6"/>
  <c r="K190" i="6"/>
  <c r="J190" i="6"/>
  <c r="I190" i="6"/>
  <c r="H190" i="6"/>
  <c r="E188" i="6"/>
  <c r="E190" i="6"/>
  <c r="E189" i="6"/>
  <c r="Q185" i="6"/>
  <c r="P185" i="6"/>
  <c r="O185" i="6"/>
  <c r="N185" i="6"/>
  <c r="M185" i="6"/>
  <c r="L185" i="6"/>
  <c r="K185" i="6"/>
  <c r="J185" i="6"/>
  <c r="I185" i="6"/>
  <c r="H185" i="6"/>
  <c r="G185" i="6"/>
  <c r="F185" i="6"/>
  <c r="E183" i="6"/>
  <c r="E184" i="6"/>
  <c r="E185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4" i="6"/>
  <c r="E172" i="6"/>
  <c r="E171" i="6"/>
  <c r="E170" i="6"/>
  <c r="E169" i="6"/>
  <c r="E168" i="6"/>
  <c r="E167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H164" i="6"/>
  <c r="G164" i="6"/>
  <c r="F164" i="6"/>
  <c r="E163" i="6"/>
  <c r="E162" i="6"/>
  <c r="L161" i="6"/>
  <c r="L160" i="6"/>
  <c r="L159" i="6"/>
  <c r="K161" i="6"/>
  <c r="J161" i="6"/>
  <c r="I161" i="6"/>
  <c r="E161" i="6"/>
  <c r="K160" i="6"/>
  <c r="K159" i="6"/>
  <c r="J160" i="6"/>
  <c r="J159" i="6"/>
  <c r="I160" i="6"/>
  <c r="I159" i="6"/>
  <c r="H160" i="6"/>
  <c r="G160" i="6"/>
  <c r="G159" i="6"/>
  <c r="F160" i="6"/>
  <c r="F159" i="6"/>
  <c r="H159" i="6"/>
  <c r="M159" i="6"/>
  <c r="N159" i="6"/>
  <c r="O159" i="6"/>
  <c r="P159" i="6"/>
  <c r="Q159" i="6"/>
  <c r="E157" i="6"/>
  <c r="E156" i="6"/>
  <c r="E155" i="6"/>
  <c r="E154" i="6"/>
  <c r="E153" i="6"/>
  <c r="E152" i="6"/>
  <c r="Q151" i="6"/>
  <c r="P151" i="6"/>
  <c r="O151" i="6"/>
  <c r="N151" i="6"/>
  <c r="M151" i="6"/>
  <c r="L151" i="6"/>
  <c r="K151" i="6"/>
  <c r="J151" i="6"/>
  <c r="I151" i="6"/>
  <c r="H151" i="6"/>
  <c r="G151" i="6"/>
  <c r="E151" i="6"/>
  <c r="F151" i="6"/>
  <c r="E148" i="6"/>
  <c r="E147" i="6"/>
  <c r="Q142" i="6"/>
  <c r="P142" i="6"/>
  <c r="O142" i="6"/>
  <c r="N142" i="6"/>
  <c r="M142" i="6"/>
  <c r="L142" i="6"/>
  <c r="K142" i="6"/>
  <c r="J142" i="6"/>
  <c r="H142" i="6"/>
  <c r="G142" i="6"/>
  <c r="F142" i="6"/>
  <c r="J139" i="6"/>
  <c r="I139" i="6"/>
  <c r="H139" i="6"/>
  <c r="G139" i="6"/>
  <c r="F139" i="6"/>
  <c r="Q135" i="6"/>
  <c r="P135" i="6"/>
  <c r="O135" i="6"/>
  <c r="N135" i="6"/>
  <c r="M135" i="6"/>
  <c r="L135" i="6"/>
  <c r="K135" i="6"/>
  <c r="J132" i="6"/>
  <c r="J135" i="6"/>
  <c r="I132" i="6"/>
  <c r="I135" i="6"/>
  <c r="H132" i="6"/>
  <c r="H135" i="6"/>
  <c r="G132" i="6"/>
  <c r="G135" i="6"/>
  <c r="F132" i="6"/>
  <c r="F135" i="6"/>
  <c r="E125" i="6"/>
  <c r="E124" i="6"/>
  <c r="E123" i="6"/>
  <c r="E122" i="6"/>
  <c r="E121" i="6"/>
  <c r="E120" i="6"/>
  <c r="E119" i="6"/>
  <c r="E118" i="6"/>
  <c r="E115" i="6"/>
  <c r="I114" i="6"/>
  <c r="H114" i="6"/>
  <c r="G114" i="6"/>
  <c r="F114" i="6"/>
  <c r="E114" i="6"/>
  <c r="G113" i="6"/>
  <c r="E113" i="6"/>
  <c r="I112" i="6"/>
  <c r="E112" i="6"/>
  <c r="H112" i="6"/>
  <c r="G112" i="6"/>
  <c r="I111" i="6"/>
  <c r="H111" i="6"/>
  <c r="H108" i="6"/>
  <c r="H107" i="6"/>
  <c r="G111" i="6"/>
  <c r="F111" i="6"/>
  <c r="E111" i="6"/>
  <c r="G110" i="6"/>
  <c r="E110" i="6"/>
  <c r="G108" i="6"/>
  <c r="F110" i="6"/>
  <c r="I109" i="6"/>
  <c r="I107" i="6"/>
  <c r="F109" i="6"/>
  <c r="E109" i="6"/>
  <c r="I108" i="6"/>
  <c r="F108" i="6"/>
  <c r="Q107" i="6"/>
  <c r="O107" i="6"/>
  <c r="N107" i="6"/>
  <c r="M107" i="6"/>
  <c r="L107" i="6"/>
  <c r="K107" i="6"/>
  <c r="J107" i="6"/>
  <c r="L100" i="6"/>
  <c r="K100" i="6"/>
  <c r="J100" i="6"/>
  <c r="I100" i="6"/>
  <c r="H100" i="6"/>
  <c r="G100" i="6"/>
  <c r="E99" i="6"/>
  <c r="E98" i="6"/>
  <c r="Q90" i="6"/>
  <c r="P90" i="6"/>
  <c r="O90" i="6"/>
  <c r="N90" i="6"/>
  <c r="M90" i="6"/>
  <c r="L90" i="6"/>
  <c r="K90" i="6"/>
  <c r="J90" i="6"/>
  <c r="I90" i="6"/>
  <c r="H90" i="6"/>
  <c r="G90" i="6"/>
  <c r="F90" i="6"/>
  <c r="G87" i="6"/>
  <c r="F87" i="6"/>
  <c r="E78" i="6"/>
  <c r="E77" i="6"/>
  <c r="Q74" i="6"/>
  <c r="O74" i="6"/>
  <c r="N74" i="6"/>
  <c r="M74" i="6"/>
  <c r="L74" i="6"/>
  <c r="E74" i="6"/>
  <c r="Q65" i="6"/>
  <c r="Q69" i="6"/>
  <c r="Q73" i="6"/>
  <c r="P65" i="6"/>
  <c r="P69" i="6"/>
  <c r="P73" i="6"/>
  <c r="O65" i="6"/>
  <c r="O67" i="6"/>
  <c r="O69" i="6"/>
  <c r="H69" i="6"/>
  <c r="I69" i="6"/>
  <c r="I73" i="6"/>
  <c r="K69" i="6"/>
  <c r="L69" i="6"/>
  <c r="M69" i="6"/>
  <c r="N69" i="6"/>
  <c r="N73" i="6"/>
  <c r="F65" i="6"/>
  <c r="G65" i="6"/>
  <c r="G73" i="6"/>
  <c r="H65" i="6"/>
  <c r="I65" i="6"/>
  <c r="J65" i="6"/>
  <c r="K65" i="6"/>
  <c r="K73" i="6"/>
  <c r="L65" i="6"/>
  <c r="M65" i="6"/>
  <c r="N65" i="6"/>
  <c r="E65" i="6"/>
  <c r="E66" i="6"/>
  <c r="F67" i="6"/>
  <c r="I67" i="6"/>
  <c r="L67" i="6"/>
  <c r="E67" i="6"/>
  <c r="E68" i="6"/>
  <c r="E70" i="6"/>
  <c r="E71" i="6"/>
  <c r="E72" i="6"/>
  <c r="M73" i="6"/>
  <c r="J73" i="6"/>
  <c r="H73" i="6"/>
  <c r="E63" i="6"/>
  <c r="E62" i="6"/>
  <c r="E61" i="6"/>
  <c r="E60" i="6"/>
  <c r="E59" i="6"/>
  <c r="E58" i="6"/>
  <c r="E56" i="6"/>
  <c r="E50" i="6"/>
  <c r="E49" i="6"/>
  <c r="E46" i="6"/>
  <c r="E45" i="6"/>
  <c r="E44" i="6"/>
  <c r="E42" i="6"/>
  <c r="E41" i="6"/>
  <c r="E40" i="6"/>
  <c r="E39" i="6"/>
  <c r="E38" i="6"/>
  <c r="E37" i="6"/>
  <c r="M35" i="6"/>
  <c r="L35" i="6"/>
  <c r="K35" i="6"/>
  <c r="J35" i="6"/>
  <c r="I35" i="6"/>
  <c r="H35" i="6"/>
  <c r="G35" i="6"/>
  <c r="F35" i="6"/>
  <c r="E35" i="6"/>
  <c r="E34" i="6"/>
  <c r="L27" i="6"/>
  <c r="G27" i="6"/>
  <c r="F27" i="6"/>
  <c r="E14" i="6"/>
  <c r="E13" i="6"/>
  <c r="E12" i="6"/>
  <c r="E11" i="6"/>
  <c r="Q10" i="6"/>
  <c r="P10" i="6"/>
  <c r="O10" i="6"/>
  <c r="N10" i="6"/>
  <c r="L10" i="6"/>
  <c r="K10" i="6"/>
  <c r="G10" i="6"/>
  <c r="F10" i="6"/>
  <c r="E9" i="6"/>
  <c r="E8" i="6"/>
  <c r="Q236" i="8"/>
  <c r="P236" i="8"/>
  <c r="O236" i="8"/>
  <c r="N236" i="8"/>
  <c r="M236" i="8"/>
  <c r="L236" i="8"/>
  <c r="K236" i="8"/>
  <c r="J236" i="8"/>
  <c r="I236" i="8"/>
  <c r="H236" i="8"/>
  <c r="G236" i="8"/>
  <c r="F236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Q200" i="8"/>
  <c r="P200" i="8"/>
  <c r="O200" i="8"/>
  <c r="N200" i="8"/>
  <c r="M200" i="8"/>
  <c r="L200" i="8"/>
  <c r="K200" i="8"/>
  <c r="J200" i="8"/>
  <c r="I200" i="8"/>
  <c r="H200" i="8"/>
  <c r="G200" i="8"/>
  <c r="F200" i="8"/>
  <c r="Q194" i="8"/>
  <c r="P194" i="8"/>
  <c r="O194" i="8"/>
  <c r="N194" i="8"/>
  <c r="M194" i="8"/>
  <c r="L194" i="8"/>
  <c r="K194" i="8"/>
  <c r="J194" i="8"/>
  <c r="I194" i="8"/>
  <c r="H194" i="8"/>
  <c r="G194" i="8"/>
  <c r="F194" i="8"/>
  <c r="Q189" i="8"/>
  <c r="P189" i="8"/>
  <c r="O189" i="8"/>
  <c r="N189" i="8"/>
  <c r="M189" i="8"/>
  <c r="L189" i="8"/>
  <c r="K189" i="8"/>
  <c r="J189" i="8"/>
  <c r="I189" i="8"/>
  <c r="H189" i="8"/>
  <c r="Q184" i="8"/>
  <c r="P184" i="8"/>
  <c r="O184" i="8"/>
  <c r="N184" i="8"/>
  <c r="M184" i="8"/>
  <c r="L184" i="8"/>
  <c r="K184" i="8"/>
  <c r="J184" i="8"/>
  <c r="I184" i="8"/>
  <c r="H184" i="8"/>
  <c r="G184" i="8"/>
  <c r="F184" i="8"/>
  <c r="Q177" i="8"/>
  <c r="P177" i="8"/>
  <c r="O177" i="8"/>
  <c r="N177" i="8"/>
  <c r="M177" i="8"/>
  <c r="L177" i="8"/>
  <c r="K177" i="8"/>
  <c r="J177" i="8"/>
  <c r="I177" i="8"/>
  <c r="H177" i="8"/>
  <c r="G177" i="8"/>
  <c r="F177" i="8"/>
  <c r="L163" i="8"/>
  <c r="K163" i="8"/>
  <c r="J163" i="8"/>
  <c r="H163" i="8"/>
  <c r="G163" i="8"/>
  <c r="F163" i="8"/>
  <c r="N72" i="8"/>
  <c r="M72" i="8"/>
  <c r="L72" i="8"/>
  <c r="K72" i="8"/>
  <c r="J72" i="8"/>
  <c r="I72" i="8"/>
  <c r="H72" i="8"/>
  <c r="G72" i="8"/>
  <c r="F72" i="8"/>
  <c r="E33" i="2"/>
  <c r="E131" i="1"/>
  <c r="H125" i="5"/>
  <c r="E80" i="1"/>
  <c r="E237" i="6"/>
  <c r="F78" i="5"/>
  <c r="M78" i="5"/>
  <c r="F102" i="5"/>
  <c r="F79" i="1"/>
  <c r="E81" i="1"/>
  <c r="G142" i="9"/>
  <c r="G221" i="9"/>
  <c r="E108" i="6"/>
  <c r="E8" i="2"/>
  <c r="M94" i="2"/>
  <c r="I94" i="2"/>
  <c r="F73" i="6"/>
  <c r="O73" i="6"/>
  <c r="E97" i="2"/>
  <c r="G194" i="10"/>
  <c r="G199" i="10"/>
  <c r="G226" i="10"/>
  <c r="G241" i="10"/>
  <c r="G189" i="10"/>
  <c r="G205" i="10"/>
  <c r="G221" i="10"/>
  <c r="G156" i="10"/>
  <c r="G171" i="10"/>
  <c r="G193" i="12"/>
  <c r="G134" i="9"/>
  <c r="G230" i="12"/>
  <c r="E126" i="1"/>
  <c r="E79" i="1"/>
  <c r="G78" i="5"/>
  <c r="Q79" i="1"/>
  <c r="L73" i="6"/>
  <c r="J94" i="2"/>
  <c r="E94" i="2"/>
  <c r="E98" i="2"/>
  <c r="I21" i="5"/>
  <c r="E21" i="5"/>
  <c r="J21" i="5"/>
  <c r="E127" i="1"/>
  <c r="F122" i="2"/>
  <c r="E147" i="2"/>
  <c r="E177" i="2"/>
  <c r="P21" i="5"/>
  <c r="K79" i="1"/>
  <c r="E10" i="12"/>
  <c r="F10" i="10"/>
  <c r="E167" i="10"/>
  <c r="E163" i="8"/>
  <c r="E169" i="10"/>
  <c r="G166" i="9"/>
  <c r="F171" i="10"/>
  <c r="G139" i="10"/>
  <c r="E159" i="6"/>
  <c r="E95" i="2"/>
  <c r="F107" i="6"/>
  <c r="E107" i="6"/>
  <c r="E212" i="6"/>
  <c r="P94" i="2"/>
  <c r="J78" i="5"/>
  <c r="E78" i="5"/>
  <c r="E50" i="1"/>
  <c r="K77" i="10"/>
  <c r="G77" i="10"/>
  <c r="G67" i="10"/>
  <c r="E160" i="6"/>
  <c r="E126" i="5"/>
  <c r="E164" i="6"/>
  <c r="G79" i="1"/>
  <c r="E10" i="6"/>
  <c r="E69" i="6"/>
  <c r="E73" i="6"/>
  <c r="G107" i="6"/>
  <c r="E232" i="6"/>
  <c r="O94" i="2"/>
  <c r="Q94" i="2"/>
  <c r="N94" i="2"/>
  <c r="O78" i="5"/>
  <c r="Q78" i="5"/>
  <c r="E132" i="5"/>
  <c r="D79" i="1"/>
  <c r="M79" i="1"/>
  <c r="G194" i="9"/>
  <c r="E141" i="8"/>
  <c r="E64" i="8"/>
  <c r="F12" i="10"/>
  <c r="E12" i="12"/>
  <c r="E82" i="1"/>
  <c r="E226" i="8"/>
  <c r="E184" i="8"/>
  <c r="E68" i="8"/>
  <c r="E165" i="8"/>
  <c r="E171" i="10"/>
  <c r="G204" i="12"/>
  <c r="N79" i="1"/>
  <c r="E134" i="8"/>
  <c r="E73" i="8"/>
  <c r="F8" i="10"/>
  <c r="E8" i="12"/>
  <c r="G159" i="9"/>
  <c r="F164" i="10"/>
  <c r="G164" i="9"/>
  <c r="E59" i="12"/>
  <c r="E63" i="12"/>
  <c r="E120" i="12"/>
  <c r="E146" i="12"/>
  <c r="F46" i="10"/>
  <c r="F47" i="10"/>
  <c r="F58" i="10"/>
  <c r="F63" i="10"/>
  <c r="F127" i="10"/>
  <c r="E72" i="8"/>
  <c r="G150" i="12" l="1"/>
  <c r="G138" i="12"/>
  <c r="G17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Wisnowski, Brian</author>
  </authors>
  <commentList>
    <comment ref="T144" authorId="0" shapeId="0" xr:uid="{B4C7086B-83E4-4ABB-8838-A57A8620492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  <comment ref="J161" authorId="1" shapeId="0" xr:uid="{C19320CA-17D7-4D1A-BE0A-354F0A3C4825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captured from 8/23-8/31 do to migration of system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Q11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Q4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information wasn't captured before but will be captured starting July 2014.</t>
        </r>
      </text>
    </comment>
    <comment ref="Q11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Wisnowski, Brian</author>
  </authors>
  <commentList>
    <comment ref="S144" authorId="0" shapeId="0" xr:uid="{30DC3D2B-22C6-4D7A-B9EF-1C6656219FD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  <comment ref="I161" authorId="1" shapeId="0" xr:uid="{33E043B8-1FC3-4EB5-A250-B5766AC54477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captured from 8/23-8/31 do to migration of system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S144" authorId="0" shapeId="0" xr:uid="{CC4E0262-7545-45ED-8C81-D3003CE655C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S144" authorId="0" shapeId="0" xr:uid="{FBF86744-F754-44AD-8FAC-07298E92E25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S150" authorId="0" shapeId="0" xr:uid="{6ACD227B-7489-4311-A15E-DEEA2803361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S145" authorId="0" shapeId="0" xr:uid="{F7115F7B-0488-4958-8739-CB6AA738681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Q14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Q14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Q13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</commentList>
</comments>
</file>

<file path=xl/sharedStrings.xml><?xml version="1.0" encoding="utf-8"?>
<sst xmlns="http://schemas.openxmlformats.org/spreadsheetml/2006/main" count="5578" uniqueCount="440">
  <si>
    <t>FY 12</t>
  </si>
  <si>
    <t>FY 13</t>
  </si>
  <si>
    <t>FY 14</t>
  </si>
  <si>
    <t>Child Welfare</t>
  </si>
  <si>
    <t>Total # of Reports</t>
  </si>
  <si>
    <t># of Reports Investigated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</si>
  <si>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</si>
  <si>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</si>
  <si>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</si>
  <si>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</si>
  <si>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</si>
  <si>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</si>
  <si>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</si>
  <si>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</si>
  <si>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</si>
  <si>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</si>
  <si>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</si>
  <si>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</si>
  <si>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Child Protective Services - Investigative Assessments</t>
  </si>
  <si>
    <t>Child Protective Services - In-Home Services</t>
  </si>
  <si>
    <t>Child Placement &amp; Permanency Services - Foster Care</t>
  </si>
  <si>
    <t># of children in DSS custody</t>
  </si>
  <si>
    <t>Male</t>
  </si>
  <si>
    <t>Female</t>
  </si>
  <si>
    <t># in custody from 13 - 24 months</t>
  </si>
  <si>
    <t># in custody from 0 - 12 months</t>
  </si>
  <si>
    <t># in custody 25+ months</t>
  </si>
  <si>
    <t># of Adoptions by Relatives</t>
  </si>
  <si>
    <t># of Adoptions by Non-Relatives</t>
  </si>
  <si>
    <t># of Children with TPR</t>
  </si>
  <si>
    <t>Average # of Months in care since TPR</t>
  </si>
  <si>
    <t>Child Placement &amp; Permanency Services - MAPP &amp; Foster Home Licensing</t>
  </si>
  <si>
    <t>Total # added</t>
  </si>
  <si>
    <t>Total # removed</t>
  </si>
  <si>
    <t># of adoptive studies completed</t>
  </si>
  <si>
    <t># of TPRs pending</t>
  </si>
  <si>
    <t># of TPRs Filed</t>
  </si>
  <si>
    <t># of people who completed MAPP</t>
  </si>
  <si>
    <t>Total # of Licensed Foster Homes</t>
  </si>
  <si>
    <t>Community Initiatives</t>
  </si>
  <si>
    <t># of "Share Your Christmas" Families Served</t>
  </si>
  <si>
    <t># of "Share Your Christmas" Referrals</t>
  </si>
  <si>
    <t># of "Share Your Thanksgiving" Referrals</t>
  </si>
  <si>
    <t>Adult Services</t>
  </si>
  <si>
    <t>Adult Protective Services (APS)</t>
  </si>
  <si>
    <t># of new APS reports evaluated</t>
  </si>
  <si>
    <t>Total # of ongoing APS cases</t>
  </si>
  <si>
    <t># of new cases added</t>
  </si>
  <si>
    <t xml:space="preserve"># of cases removed </t>
  </si>
  <si>
    <t># of evaluated cases that were offered ongoing services</t>
  </si>
  <si>
    <t>Adult Guardian Services</t>
  </si>
  <si>
    <t># of Adults for whom DSS is Guardian</t>
  </si>
  <si>
    <t>Adult In-Home Aide Services</t>
  </si>
  <si>
    <t>Total # of adults receiving in-home aide services</t>
  </si>
  <si>
    <t>Average # of hours of service provided</t>
  </si>
  <si>
    <t>Total # of Special Assistance (SA) Demo Cases</t>
  </si>
  <si>
    <t>Total # of SA Cases</t>
  </si>
  <si>
    <t>Total Amount of Special Assistance Dollars Spent</t>
  </si>
  <si>
    <t>Total # of Community Alternative Placement (CAP) cases</t>
  </si>
  <si>
    <t>Crisis Services</t>
  </si>
  <si>
    <t>Total # of Families Served</t>
  </si>
  <si>
    <t># of Families Served with "Utility" Assistance</t>
  </si>
  <si>
    <t># of Families Served with "Medical" Assistance</t>
  </si>
  <si>
    <t># of Families Served with "Shelter" Assistance</t>
  </si>
  <si>
    <t># of Families Served with "Water" Assistance</t>
  </si>
  <si>
    <t># of Families Served with "Burial" Assistance</t>
  </si>
  <si>
    <t># of Families Assisted thru Opening Doors</t>
  </si>
  <si>
    <t># of Book bag Referrals</t>
  </si>
  <si>
    <t># of Book Bag Families Served</t>
  </si>
  <si>
    <t># of "Share Your Thanksgiving" Families Served</t>
  </si>
  <si>
    <t># of Families Served with "Food" Assistance</t>
  </si>
  <si>
    <t>FAMILY ECONOMIC AND INDEPENDENCE DIVISION</t>
  </si>
  <si>
    <t>FAMILY SAFETY &amp; PERMANENCY DIVISION</t>
  </si>
  <si>
    <t>Child Care</t>
  </si>
  <si>
    <t>Total # of Children receiving Subsidy Assistance</t>
  </si>
  <si>
    <t>Total # of Children on the waiting list</t>
  </si>
  <si>
    <t>Food and Nutrition Services</t>
  </si>
  <si>
    <t>Total # of Food &amp; Nutrition Services Recipients</t>
  </si>
  <si>
    <t>Total # of Food &amp; Nutrition Services Cases</t>
  </si>
  <si>
    <t>Total Amount of Food &amp; Nutrition Services Dollars Spent</t>
  </si>
  <si>
    <t>Medicaid and Health Choice</t>
  </si>
  <si>
    <t>Total # of Medicaid Recipients</t>
  </si>
  <si>
    <t>Total # of Health Choice Recipients</t>
  </si>
  <si>
    <t>Total # of Work First Cases</t>
  </si>
  <si>
    <t># of Child Only Cases</t>
  </si>
  <si>
    <t># of Adult Included Cases</t>
  </si>
  <si>
    <t>Total Dollar Amount of Cash Assistance Payments</t>
  </si>
  <si>
    <t>Work First Family Assistance</t>
  </si>
  <si>
    <t>Work First</t>
  </si>
  <si>
    <t>Work First Employment Services</t>
  </si>
  <si>
    <t>Total # who Received Employment Services</t>
  </si>
  <si>
    <t>Total Remaining Off Work First for Employment (12 months after leaving Work First)</t>
  </si>
  <si>
    <t>Participation Rate - All Families</t>
  </si>
  <si>
    <t>CUSTOMER ACCOUNTABILITY &amp; PROGRAM DEVELOPMENT DIVISION</t>
  </si>
  <si>
    <t>Program Integrity</t>
  </si>
  <si>
    <t>Customer Information Center</t>
  </si>
  <si>
    <t>Total # of Visits thru Reception</t>
  </si>
  <si>
    <t>Reception at 414 East Main</t>
  </si>
  <si>
    <t>Total # of Calls Handled</t>
  </si>
  <si>
    <t>Staff Training and Retention</t>
  </si>
  <si>
    <t># of Employees participating in Mandatory Training Classes</t>
  </si>
  <si>
    <t># of employees participating in Leadership Classes</t>
  </si>
  <si>
    <t># of Employees participating in Interpersonal Skills Classes</t>
  </si>
  <si>
    <t># of Employees participating in Technology Training</t>
  </si>
  <si>
    <t># of Employees completing Program Training</t>
  </si>
  <si>
    <t># of Employees participating in other training</t>
  </si>
  <si>
    <t>Total # of Employees Participating in Training</t>
  </si>
  <si>
    <t>CHILD SUPPORT SERVICES</t>
  </si>
  <si>
    <t>CLIENT TOTALS</t>
  </si>
  <si>
    <t>Total # of DSS Clients Serviced (unduplicated count)</t>
  </si>
  <si>
    <t>Previous FYs</t>
  </si>
  <si>
    <t># of New Placements</t>
  </si>
  <si>
    <t>Reasons for Exit</t>
  </si>
  <si>
    <t>Reunifications</t>
  </si>
  <si>
    <t>Guardianship</t>
  </si>
  <si>
    <t>Adoption</t>
  </si>
  <si>
    <t>Death</t>
  </si>
  <si>
    <t>Age Out/Emancipation</t>
  </si>
  <si>
    <t>Average % of Calls Handled</t>
  </si>
  <si>
    <t>Average % of Durham County's Population who receive(d) services from DSS (Census 2010)</t>
  </si>
  <si>
    <t>Child Placement &amp; Permanency Services - Adoptions / Termination of Parental Rights (TPR)</t>
  </si>
  <si>
    <t># of Contractual Agreements for Continued Residential Services (CARS)</t>
  </si>
  <si>
    <t># of Families Served with "Other Types" of Assistance</t>
  </si>
  <si>
    <t>CURRENT</t>
  </si>
  <si>
    <t>Total Amount of Child Support $ Collected</t>
  </si>
  <si>
    <t>Total $ Amount Collected</t>
  </si>
  <si>
    <t>$ Collected for "Work First Family Assistance"</t>
  </si>
  <si>
    <t>$ Collected for "Food &amp; Nutrition Services"</t>
  </si>
  <si>
    <t>$ Collected for "Family &amp; Children's Medicaid"</t>
  </si>
  <si>
    <t>$ Collected for "Special Assistance Medicaid"</t>
  </si>
  <si>
    <t>$ Collected for "Child Care"</t>
  </si>
  <si>
    <t>$ Collected for "Low Income Energy Assistance"</t>
  </si>
  <si>
    <t># Employed During the Month</t>
  </si>
  <si>
    <t># of Benefit Diversion Cases</t>
  </si>
  <si>
    <r>
      <t xml:space="preserve">Reception at 1201 South Briggs Avenue </t>
    </r>
    <r>
      <rPr>
        <i/>
        <sz val="14"/>
        <color theme="1"/>
        <rFont val="Calibri"/>
        <family val="2"/>
        <scheme val="minor"/>
      </rPr>
      <t>(Childcare)</t>
    </r>
  </si>
  <si>
    <t>Total # of Call Center Calls (ext. 8000)</t>
  </si>
  <si>
    <t>Data Not Available</t>
  </si>
  <si>
    <t>Durham Eligibles as a % of Durham's Population (Census 2010 - Population 267,587)</t>
  </si>
  <si>
    <t># of Exits from Foster Care</t>
  </si>
  <si>
    <t>Custody</t>
  </si>
  <si>
    <t>Total # added - Newly licensed</t>
  </si>
  <si>
    <t>Total # removed - Terminated</t>
  </si>
  <si>
    <t>Total # terminated</t>
  </si>
  <si>
    <t>Total # of CPS Hotline Calls</t>
  </si>
  <si>
    <t>N/A</t>
  </si>
  <si>
    <t>Total # of Investigative Assessments</t>
  </si>
  <si>
    <t>Total # of Family Assessments</t>
  </si>
  <si>
    <t># of investigative assessments initiated within 24 hours</t>
  </si>
  <si>
    <t># of family assessments initiated within 72 hours</t>
  </si>
  <si>
    <t># of available homes for new placement</t>
  </si>
  <si>
    <t>Color Schemes</t>
  </si>
  <si>
    <t xml:space="preserve"> = Represents the Program within the Division</t>
  </si>
  <si>
    <t xml:space="preserve"> = Represents the DSS Division</t>
  </si>
  <si>
    <t xml:space="preserve"> = Represents the Unit within the Division</t>
  </si>
  <si>
    <t xml:space="preserve"> = Represents the totals for as of the last day of the Previous Month</t>
  </si>
  <si>
    <t>-2</t>
  </si>
  <si>
    <t># of "Share Your Thanksgiving" Families Sponsored</t>
  </si>
  <si>
    <t># of "Share Your Christmas" Families Sponsored</t>
  </si>
  <si>
    <t>Total # of hours of service provided</t>
  </si>
  <si>
    <t>FY 15</t>
  </si>
  <si>
    <t>Data Incomplete</t>
  </si>
  <si>
    <t>Total # of adults receiving SA in-home aide services</t>
  </si>
  <si>
    <t>Meal on Wheels (MOW)</t>
  </si>
  <si>
    <t>Group Care Monitoring Services (GCMS)</t>
  </si>
  <si>
    <t>Total # Receiving Adult Day Care Services</t>
  </si>
  <si>
    <t>Total # Receiving Adult Day Health Services</t>
  </si>
  <si>
    <t>Total # of Special Assistance Recipients</t>
  </si>
  <si>
    <t>Average % of Durham County's Population who receive(d) services from DSS (Census.gov 2014 estimate)</t>
  </si>
  <si>
    <t>Durham Eligibles as a % of Durham's Population (Census.gov
Population 2014 estimate 294,460)</t>
  </si>
  <si>
    <t>FY 16</t>
  </si>
  <si>
    <t>Total # of Individuals on MOW Waiting List</t>
  </si>
  <si>
    <t>HCCBG (Home &amp; Community Block Grant) - Total # of Individuals Served</t>
  </si>
  <si>
    <t>County (Non HCCBG) - Total # of Individuals Served</t>
  </si>
  <si>
    <t>83</t>
  </si>
  <si>
    <t>Child Protective Services</t>
  </si>
  <si>
    <t>Foster Care (Children)</t>
  </si>
  <si>
    <t>Adoptions (Children)</t>
  </si>
  <si>
    <t>Total # of FTEs</t>
  </si>
  <si>
    <t>Total # of Cases</t>
  </si>
  <si>
    <t>State Standard</t>
  </si>
  <si>
    <t>Durham County</t>
  </si>
  <si>
    <t>Intake (Reports)</t>
  </si>
  <si>
    <t>In-Home Services (Cases/Families)</t>
  </si>
  <si>
    <t>Child Placement and Permanency Services</t>
  </si>
  <si>
    <t>100 : 1</t>
  </si>
  <si>
    <t>10 : 1</t>
  </si>
  <si>
    <t>15 : 1</t>
  </si>
  <si>
    <t>25 : 1</t>
  </si>
  <si>
    <t>30 : 1</t>
  </si>
  <si>
    <t>40 : 1</t>
  </si>
  <si>
    <t>Total # of Special Assistance (SA) In-Home Cases</t>
  </si>
  <si>
    <t>Investigations and Assessments (Cases/Families)</t>
  </si>
  <si>
    <t>Total # of Children</t>
  </si>
  <si>
    <t>Total # of Families</t>
  </si>
  <si>
    <t>Total # of Families with Court Involved</t>
  </si>
  <si>
    <t># with Kinship Placement</t>
  </si>
  <si>
    <t># with Court Ordered Protection Plan (COPP)</t>
  </si>
  <si>
    <t>Total # of Children Remaining at Home</t>
  </si>
  <si>
    <t>Total # of Children Put in Custody moved from In-Home to Foster Care</t>
  </si>
  <si>
    <t>Other</t>
  </si>
  <si>
    <t>CASELOAD ANALYSIS - # of Cases per FTE</t>
  </si>
  <si>
    <t>Community Alternative Placement (CAP)</t>
  </si>
  <si>
    <t>Special Assistance (SA) In-Home Services</t>
  </si>
  <si>
    <t>Home Centered Care (HCC)</t>
  </si>
  <si>
    <t>Data No Available</t>
  </si>
  <si>
    <t>Total # of ABAWDS (Able Bodied Adults w/o Dependents)</t>
  </si>
  <si>
    <t># of Homeless Children Served</t>
  </si>
  <si>
    <t># of Title IV-E Children Served</t>
  </si>
  <si>
    <t>Total # of Children receiving Subsidy Assistance (unduplicated)</t>
  </si>
  <si>
    <t>64</t>
  </si>
  <si>
    <t>6</t>
  </si>
  <si>
    <t>35 : 1</t>
  </si>
  <si>
    <t>14 : 1</t>
  </si>
  <si>
    <t>FY 17</t>
  </si>
  <si>
    <t>265</t>
  </si>
  <si>
    <t xml:space="preserve">3 </t>
  </si>
  <si>
    <t>88 : 1</t>
  </si>
  <si>
    <t>191</t>
  </si>
  <si>
    <t>10</t>
  </si>
  <si>
    <t>19 : 1</t>
  </si>
  <si>
    <t>100</t>
  </si>
  <si>
    <t>12</t>
  </si>
  <si>
    <t>8 : 1</t>
  </si>
  <si>
    <t>209</t>
  </si>
  <si>
    <t>16</t>
  </si>
  <si>
    <t>13 : 1</t>
  </si>
  <si>
    <t>32</t>
  </si>
  <si>
    <t>4</t>
  </si>
  <si>
    <t xml:space="preserve">68 </t>
  </si>
  <si>
    <t>11 : 1</t>
  </si>
  <si>
    <t>76</t>
  </si>
  <si>
    <t>3</t>
  </si>
  <si>
    <t>421</t>
  </si>
  <si>
    <t>42 : 1</t>
  </si>
  <si>
    <t>129</t>
  </si>
  <si>
    <t>5</t>
  </si>
  <si>
    <t>27 : 1</t>
  </si>
  <si>
    <t>53</t>
  </si>
  <si>
    <t>135</t>
  </si>
  <si>
    <t>`</t>
  </si>
  <si>
    <t>Foster Care Costs</t>
  </si>
  <si>
    <t>Room and Board</t>
  </si>
  <si>
    <t>Personal Needs</t>
  </si>
  <si>
    <t>Clothing</t>
  </si>
  <si>
    <t>Educational</t>
  </si>
  <si>
    <t>Misc</t>
  </si>
  <si>
    <t>Respite Care</t>
  </si>
  <si>
    <t>Medical Needs</t>
  </si>
  <si>
    <t>Emergency Payment</t>
  </si>
  <si>
    <t xml:space="preserve">Total Foster Care Costs </t>
  </si>
  <si>
    <t>County Cost for Undocumented Youth (subset of all FC costs)</t>
  </si>
  <si>
    <t>Death/Transfer</t>
  </si>
  <si>
    <t>Average % of Durham County's Population who receive(d) services from DSS (Census.gov July 2016 estimate)</t>
  </si>
  <si>
    <t>Durham Eligibles as a % of Durham's Population (Census.gov
Population Jul 2016 estimate 306,212)</t>
  </si>
  <si>
    <t># of children in DSS custody*(including CARS, VPA)</t>
  </si>
  <si>
    <t>FY 18</t>
  </si>
  <si>
    <t># of Voluntary Placement Agreements (18-21 year olds)</t>
  </si>
  <si>
    <t>Other (not previously reported)/Death/Transfer</t>
  </si>
  <si>
    <t># of Homeless Children Served (Duplicated Total)</t>
  </si>
  <si>
    <t># of Title IV-E Children Served (Duplicated Total)</t>
  </si>
  <si>
    <t>Durham Eligibles as a % of Durham's Population (Census.gov
Population Jul 2017 estimate 311,640)</t>
  </si>
  <si>
    <t>FY 19</t>
  </si>
  <si>
    <t>Previous</t>
  </si>
  <si>
    <t>Number of reports investigated</t>
  </si>
  <si>
    <t>Family Safety And Permanency Division</t>
  </si>
  <si>
    <t>Family Economic And Independence Division</t>
  </si>
  <si>
    <t>Customer Accountability And Program Development Division</t>
  </si>
  <si>
    <t>Child Support Services</t>
  </si>
  <si>
    <t>Client Totals</t>
  </si>
  <si>
    <t>Total number of ongoing APS cases</t>
  </si>
  <si>
    <t>Total number added</t>
  </si>
  <si>
    <t>Total number removed</t>
  </si>
  <si>
    <t>Total number of hours of service provided</t>
  </si>
  <si>
    <t>Total number terminated</t>
  </si>
  <si>
    <t>Total amount of child support dollars collected</t>
  </si>
  <si>
    <t>Number of investigative assessments initiated within 24 hours</t>
  </si>
  <si>
    <t>Number of family assessments initiated within 72 hours</t>
  </si>
  <si>
    <t>Number of children in DSS custody</t>
  </si>
  <si>
    <t>Number in custody from 0 - 12 months</t>
  </si>
  <si>
    <t>Number in custody from 13 - 24 months</t>
  </si>
  <si>
    <t>Number in custody 25+ months</t>
  </si>
  <si>
    <t>Other (not previously reported, death, transfer)</t>
  </si>
  <si>
    <t>Total number of reports</t>
  </si>
  <si>
    <t>Total number of CPS hotline calls</t>
  </si>
  <si>
    <t>Total number of investigative assessments</t>
  </si>
  <si>
    <t>Total number of family assessments</t>
  </si>
  <si>
    <t>Number of contractual agreements for continued residential services (CARS)</t>
  </si>
  <si>
    <t>Number of voluntary placement agreements (18-21 year olds)</t>
  </si>
  <si>
    <t>Number of new placements</t>
  </si>
  <si>
    <t>Number of exits from foster care</t>
  </si>
  <si>
    <t>Aged out/Emancipation</t>
  </si>
  <si>
    <t>Number of adoptions by relatives</t>
  </si>
  <si>
    <t>Child Placement And Permanency Services - Adoptions / Termination of Parental Rights (TPR)</t>
  </si>
  <si>
    <t>Child Placement And Permanency Services - Foster Care</t>
  </si>
  <si>
    <t>Number of adoptions by non-relatives</t>
  </si>
  <si>
    <t>Number of adoptive studies completed</t>
  </si>
  <si>
    <t>Total number of licensed foster homes</t>
  </si>
  <si>
    <t>Total number added that were newly licensed</t>
  </si>
  <si>
    <t>Total number that were removed or terminated</t>
  </si>
  <si>
    <t>Number of available homes for new placement</t>
  </si>
  <si>
    <t>Number of people who completed MAPP</t>
  </si>
  <si>
    <t>Number of book bag families served</t>
  </si>
  <si>
    <t>Number of share your thanksgiving families sponsored</t>
  </si>
  <si>
    <t>Number of share your christmas families sponsored</t>
  </si>
  <si>
    <t>Room and board</t>
  </si>
  <si>
    <t>Personal needs</t>
  </si>
  <si>
    <t>Respite care</t>
  </si>
  <si>
    <t>Medical needs</t>
  </si>
  <si>
    <t>Emergency payment</t>
  </si>
  <si>
    <t xml:space="preserve">Total foster care costs </t>
  </si>
  <si>
    <t>County cost for undocumented youth (subset of all FC costs)</t>
  </si>
  <si>
    <t>Number of new APS reports evaluated</t>
  </si>
  <si>
    <t>Number of evaluated cases that were offered ongoing services</t>
  </si>
  <si>
    <t>Number of new cases added</t>
  </si>
  <si>
    <t xml:space="preserve">Number of cases removed </t>
  </si>
  <si>
    <t>Total number of community alternative placement (CAP) cases</t>
  </si>
  <si>
    <t>Total number of adults receiving special assistance (SA) in-home aide services</t>
  </si>
  <si>
    <t>Total number of special assistance (SA) in-home cases</t>
  </si>
  <si>
    <t>HCCBG (Home And Community Block Grant) - Total number of individuals served</t>
  </si>
  <si>
    <t>County (Non HCCBG) - Total number of individuals served</t>
  </si>
  <si>
    <t>Total number of individuals on meals on wheels waiting list</t>
  </si>
  <si>
    <t>Total number of families served</t>
  </si>
  <si>
    <t>Number of families served with utility assistance</t>
  </si>
  <si>
    <t>Number of families served with medical assistance</t>
  </si>
  <si>
    <t>Number of families served with food assistance</t>
  </si>
  <si>
    <t>Number of families served with shelter assistance</t>
  </si>
  <si>
    <t>Number of families served with water assistance</t>
  </si>
  <si>
    <t>Number of families served with burial assistance</t>
  </si>
  <si>
    <t>Number of families served with other types of assistance</t>
  </si>
  <si>
    <t>Number of families assisted thru opening doors</t>
  </si>
  <si>
    <t>Number of title IV-E children served (duplicated total)</t>
  </si>
  <si>
    <t>Number of homeless children served (duplicated total)</t>
  </si>
  <si>
    <t>Total number of children on the waiting list</t>
  </si>
  <si>
    <t>Total number of food and nutrition services recipients</t>
  </si>
  <si>
    <t>Total number of able bodied adults with out dependents (ABAWDS)</t>
  </si>
  <si>
    <t>Total amount of food and nutrition services dollars spent</t>
  </si>
  <si>
    <t>Food And Nutrition Services</t>
  </si>
  <si>
    <t>Total number of health choice recipients</t>
  </si>
  <si>
    <t>Total number of special assistance (SA) recipients</t>
  </si>
  <si>
    <t>Total amount of special assistance (SA) dollars spent</t>
  </si>
  <si>
    <t>Number of child only cases</t>
  </si>
  <si>
    <t>Number of adult included cases</t>
  </si>
  <si>
    <t>Total dollar amount of cash assistance payments</t>
  </si>
  <si>
    <t>Total number who received employment services</t>
  </si>
  <si>
    <t>Total remaining off work first for employment (12 months after leaving work first)</t>
  </si>
  <si>
    <t>Participation rate (all families)</t>
  </si>
  <si>
    <t>Number employed during the month</t>
  </si>
  <si>
    <t>Number of Benefit diversion cases</t>
  </si>
  <si>
    <t>Total dollar amount collected</t>
  </si>
  <si>
    <t>Dollar amount collected for work first family assistance</t>
  </si>
  <si>
    <t>Dollar amount collected for food and nutrition services</t>
  </si>
  <si>
    <t>Dollar amount collected for family and children's medicaid</t>
  </si>
  <si>
    <t>Dollar amount collected for special assistance medicaid</t>
  </si>
  <si>
    <t>Dollar amount collected for child care</t>
  </si>
  <si>
    <t>Dollar amount collected for low Income energy assistance</t>
  </si>
  <si>
    <t>Total number of visits thru reception</t>
  </si>
  <si>
    <t>Total number of call center calls (ext. 8000)</t>
  </si>
  <si>
    <t>Total number of calls handled</t>
  </si>
  <si>
    <t>Average % of calls handled</t>
  </si>
  <si>
    <t>Staff Training And Retention</t>
  </si>
  <si>
    <t>Total number of employees participating in training</t>
  </si>
  <si>
    <t>Number of employees participating in mandatory training classes</t>
  </si>
  <si>
    <t>Number of employees participating in leadership classes</t>
  </si>
  <si>
    <t>Number of employees participating in interpersonal skills classes</t>
  </si>
  <si>
    <t>Number of employees participating in technology training</t>
  </si>
  <si>
    <t>Number of Employees completing program training</t>
  </si>
  <si>
    <t>Number of employees participating in other training</t>
  </si>
  <si>
    <t>Total number of DSS clients serviced (unduplicated count)</t>
  </si>
  <si>
    <t>Average % of Durham County's population who receive(d) services from DSS (Census.gov July 2016 estimate)</t>
  </si>
  <si>
    <t>Number of adults for whom DSS is guardian</t>
  </si>
  <si>
    <t>Durham eligibles as a percent of Durham's population (Census.gov Population Jul 2017 estimate 311,640)</t>
  </si>
  <si>
    <t>Reception at 1201 South Briggs Avenue (childcare)</t>
  </si>
  <si>
    <t>Number of book bag referrals</t>
  </si>
  <si>
    <t>Number of share your thanksgiving referrals</t>
  </si>
  <si>
    <t>Number of share your christmas referrals</t>
  </si>
  <si>
    <t>Total number of children</t>
  </si>
  <si>
    <t>Total number of families</t>
  </si>
  <si>
    <t>Total number of families with court involved</t>
  </si>
  <si>
    <t>Number with court ordered protection plan (COPP)</t>
  </si>
  <si>
    <t>Number with kinship placement</t>
  </si>
  <si>
    <t>Total number of children remaining at home</t>
  </si>
  <si>
    <t>Total number of children put in custody moved from in-home to foster care</t>
  </si>
  <si>
    <t>Child Placement And Permanency Services - MAPP And Foster Home Licensing</t>
  </si>
  <si>
    <t>Meal On Wheels (MOW)</t>
  </si>
  <si>
    <t>AVG</t>
  </si>
  <si>
    <t>Medicaid</t>
  </si>
  <si>
    <t>Total number of Medicaid recipients (Family &amp; Adult)</t>
  </si>
  <si>
    <t>Total amount of Medicaid dollars spent</t>
  </si>
  <si>
    <t>Total number of children receiving subsidy assistance</t>
  </si>
  <si>
    <t>Date Added</t>
  </si>
  <si>
    <t>Total number of food and nutrition services cases</t>
  </si>
  <si>
    <t>W/n 7-10 business days after the 1st</t>
  </si>
  <si>
    <t>W/n 9-10 business days after the 1st</t>
  </si>
  <si>
    <t>Recoupment</t>
  </si>
  <si>
    <t>Not Available</t>
  </si>
  <si>
    <t>Total number of work first cases</t>
  </si>
  <si>
    <t>FY 20</t>
  </si>
  <si>
    <t>n/a</t>
  </si>
  <si>
    <t>Race- Black</t>
  </si>
  <si>
    <t>Race- White</t>
  </si>
  <si>
    <t>Race- Other</t>
  </si>
  <si>
    <t>Race- Hispanic</t>
  </si>
  <si>
    <t>No Longer Tracking</t>
  </si>
  <si>
    <t>No Undocumented</t>
  </si>
  <si>
    <t>Covid</t>
  </si>
  <si>
    <t>No longer Tracking</t>
  </si>
  <si>
    <t>FY 21</t>
  </si>
  <si>
    <t>Average % of Durham County's population who receive(d) services from DSS (Census.gov July 2018 estimate)</t>
  </si>
  <si>
    <t>N/a</t>
  </si>
  <si>
    <t>Number of share your christmas household members sponsored (total)</t>
  </si>
  <si>
    <t>Number of share your thanksgiving referrals (total)</t>
  </si>
  <si>
    <t>Number of share your thanksgiving household members sponsored (total)</t>
  </si>
  <si>
    <t>Number of share your christmas referrals (total)</t>
  </si>
  <si>
    <t>Number of book bag children served</t>
  </si>
  <si>
    <t>FY 22</t>
  </si>
  <si>
    <t>Actively Accepting Apps</t>
  </si>
  <si>
    <t>Number of book bag referrals (running total)</t>
  </si>
  <si>
    <t>Number of book bag children served (running total)</t>
  </si>
  <si>
    <t>FY 23</t>
  </si>
  <si>
    <t>Number of home adoptive studies completed</t>
  </si>
  <si>
    <t>Total number of employees participating in training (month behind)</t>
  </si>
  <si>
    <t>Number of employees participating in mandatory training classes (month behind)</t>
  </si>
  <si>
    <t>Number of employees participating in interpersonal skills classes (month behind)</t>
  </si>
  <si>
    <t>Number of employees participating in technology training (month behind)</t>
  </si>
  <si>
    <t>Number of Employees completing program training (month behind)d</t>
  </si>
  <si>
    <t>Number of employees participating in other training (month behind)</t>
  </si>
  <si>
    <t>FY 24</t>
  </si>
  <si>
    <t>We are actively accepting applications</t>
  </si>
  <si>
    <t>Bookbags and Holidays</t>
  </si>
  <si>
    <t>actively accepting applications</t>
  </si>
  <si>
    <t xml:space="preserve">Total number of employees participating in training </t>
  </si>
  <si>
    <t>month behind</t>
  </si>
  <si>
    <t xml:space="preserve">Number of employees participating in interpersonal skills classes </t>
  </si>
  <si>
    <t xml:space="preserve">Number of Employees completing program training </t>
  </si>
  <si>
    <t>Number of employees participating mandatory PROGRAM training</t>
  </si>
  <si>
    <t>FY 25</t>
  </si>
  <si>
    <t>Durham eligibles as a percent of Durham's population (Census.gov Population Jul 2022 estimate 326,126)</t>
  </si>
  <si>
    <t>Number of new APS Intakes accepted for evaluation</t>
  </si>
  <si>
    <r>
      <t>Staff Training And Retention</t>
    </r>
    <r>
      <rPr>
        <b/>
        <sz val="11"/>
        <color rgb="FFFF0000"/>
        <rFont val="Arial"/>
        <family val="2"/>
      </rPr>
      <t xml:space="preserve"> (month behind)</t>
    </r>
  </si>
  <si>
    <t>Average % of Durham County's population who receive(d) services from DSS (Census.gov July 2022 estimate)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</si>
</sst>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_(* #,##0_);_(* \(#,##0\);_(* &quot;-&quot;??_);_(@_)"/>
    <numFmt numFmtId="168" formatCode="&quot;$&quot;#,##0.0"/>
    <numFmt numFmtId="169" formatCode="\$#,##0.00;&quot;($&quot;#,##0.00\)"/>
  </numFmts>
  <fonts count="4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 tint="0.499984740745262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12"/>
      <color rgb="FF22222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color theme="1"/>
      <name val="Cavolini"/>
      <family val="4"/>
    </font>
    <font>
      <sz val="9"/>
      <color rgb="FF333333"/>
      <name val="Tahoma"/>
      <family val="2"/>
    </font>
    <font>
      <b/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FBFC"/>
        <bgColor rgb="FFFFFFFF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ashDotDot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8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11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Protection="1">
      <protection locked="0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3" xfId="0" applyFont="1" applyBorder="1"/>
    <xf numFmtId="0" fontId="1" fillId="7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37" fontId="3" fillId="0" borderId="51" xfId="3" applyNumberFormat="1" applyFont="1" applyBorder="1" applyAlignment="1" applyProtection="1">
      <alignment horizontal="right" vertical="center"/>
    </xf>
    <xf numFmtId="37" fontId="3" fillId="0" borderId="38" xfId="3" applyNumberFormat="1" applyFont="1" applyBorder="1" applyAlignment="1" applyProtection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4" fillId="0" borderId="41" xfId="0" applyFont="1" applyBorder="1" applyAlignment="1">
      <alignment horizontal="left" vertical="center"/>
    </xf>
    <xf numFmtId="37" fontId="3" fillId="0" borderId="52" xfId="3" applyNumberFormat="1" applyFont="1" applyBorder="1" applyAlignment="1" applyProtection="1">
      <alignment horizontal="right" vertical="center"/>
    </xf>
    <xf numFmtId="37" fontId="3" fillId="0" borderId="36" xfId="3" applyNumberFormat="1" applyFont="1" applyBorder="1" applyAlignment="1" applyProtection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3" fontId="3" fillId="0" borderId="52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 vertical="center"/>
    </xf>
    <xf numFmtId="165" fontId="12" fillId="0" borderId="23" xfId="0" applyNumberFormat="1" applyFont="1" applyBorder="1" applyAlignment="1">
      <alignment horizontal="right" vertical="center" wrapText="1"/>
    </xf>
    <xf numFmtId="165" fontId="12" fillId="0" borderId="24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/>
    </xf>
    <xf numFmtId="165" fontId="12" fillId="0" borderId="51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 indent="3"/>
    </xf>
    <xf numFmtId="3" fontId="3" fillId="0" borderId="33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indent="3"/>
    </xf>
    <xf numFmtId="0" fontId="4" fillId="0" borderId="42" xfId="0" applyFont="1" applyBorder="1" applyAlignment="1">
      <alignment horizontal="left" vertical="center" indent="3"/>
    </xf>
    <xf numFmtId="0" fontId="4" fillId="0" borderId="42" xfId="0" applyFont="1" applyBorder="1" applyAlignment="1">
      <alignment horizontal="left" vertical="center" wrapText="1"/>
    </xf>
    <xf numFmtId="0" fontId="1" fillId="8" borderId="39" xfId="0" applyFont="1" applyFill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8" fillId="0" borderId="42" xfId="0" applyFont="1" applyBorder="1" applyAlignment="1">
      <alignment horizontal="left" vertical="center" indent="3"/>
    </xf>
    <xf numFmtId="0" fontId="4" fillId="8" borderId="54" xfId="0" applyFont="1" applyFill="1" applyBorder="1" applyAlignment="1">
      <alignment horizontal="right" vertical="center"/>
    </xf>
    <xf numFmtId="0" fontId="4" fillId="8" borderId="43" xfId="0" applyFont="1" applyFill="1" applyBorder="1" applyAlignment="1">
      <alignment horizontal="right" vertical="center"/>
    </xf>
    <xf numFmtId="0" fontId="2" fillId="8" borderId="40" xfId="0" applyFont="1" applyFill="1" applyBorder="1" applyAlignment="1">
      <alignment horizontal="right" vertical="center"/>
    </xf>
    <xf numFmtId="0" fontId="4" fillId="8" borderId="0" xfId="0" applyFont="1" applyFill="1" applyAlignment="1">
      <alignment horizontal="right" vertical="center"/>
    </xf>
    <xf numFmtId="0" fontId="4" fillId="8" borderId="30" xfId="0" applyFont="1" applyFill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8" fillId="0" borderId="48" xfId="0" applyFont="1" applyBorder="1" applyAlignment="1">
      <alignment horizontal="left" vertical="center" indent="3"/>
    </xf>
    <xf numFmtId="0" fontId="3" fillId="0" borderId="55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1" fillId="8" borderId="40" xfId="0" applyFont="1" applyFill="1" applyBorder="1" applyAlignment="1">
      <alignment horizontal="right" vertical="center"/>
    </xf>
    <xf numFmtId="0" fontId="4" fillId="0" borderId="42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3" fontId="3" fillId="0" borderId="51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3" fillId="0" borderId="53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0" fontId="4" fillId="0" borderId="48" xfId="0" applyFont="1" applyBorder="1" applyAlignment="1">
      <alignment horizontal="left" vertical="center" indent="3"/>
    </xf>
    <xf numFmtId="0" fontId="1" fillId="8" borderId="9" xfId="0" applyFont="1" applyFill="1" applyBorder="1" applyAlignment="1">
      <alignment horizontal="right" vertical="center"/>
    </xf>
    <xf numFmtId="3" fontId="3" fillId="0" borderId="51" xfId="0" applyNumberFormat="1" applyFont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0" borderId="26" xfId="0" applyNumberFormat="1" applyFont="1" applyBorder="1" applyAlignment="1">
      <alignment horizontal="right" vertical="center" indent="1"/>
    </xf>
    <xf numFmtId="3" fontId="3" fillId="0" borderId="27" xfId="0" applyNumberFormat="1" applyFont="1" applyBorder="1" applyAlignment="1">
      <alignment horizontal="right" vertical="center" indent="1"/>
    </xf>
    <xf numFmtId="3" fontId="3" fillId="0" borderId="28" xfId="0" applyNumberFormat="1" applyFont="1" applyBorder="1" applyAlignment="1">
      <alignment horizontal="right" vertical="center" indent="1"/>
    </xf>
    <xf numFmtId="0" fontId="4" fillId="0" borderId="42" xfId="0" applyFont="1" applyBorder="1" applyAlignment="1">
      <alignment horizontal="left" vertical="center" indent="4"/>
    </xf>
    <xf numFmtId="3" fontId="3" fillId="0" borderId="53" xfId="0" applyNumberFormat="1" applyFont="1" applyBorder="1" applyAlignment="1">
      <alignment horizontal="right" vertical="center" indent="1"/>
    </xf>
    <xf numFmtId="3" fontId="3" fillId="0" borderId="33" xfId="0" applyNumberFormat="1" applyFont="1" applyBorder="1" applyAlignment="1">
      <alignment horizontal="right" vertical="center" indent="1"/>
    </xf>
    <xf numFmtId="3" fontId="3" fillId="0" borderId="15" xfId="0" applyNumberFormat="1" applyFont="1" applyBorder="1" applyAlignment="1">
      <alignment horizontal="right" vertical="center" indent="1"/>
    </xf>
    <xf numFmtId="3" fontId="3" fillId="0" borderId="16" xfId="0" applyNumberFormat="1" applyFont="1" applyBorder="1" applyAlignment="1">
      <alignment horizontal="right" vertical="center" indent="1"/>
    </xf>
    <xf numFmtId="3" fontId="3" fillId="0" borderId="17" xfId="0" applyNumberFormat="1" applyFont="1" applyBorder="1" applyAlignment="1">
      <alignment horizontal="right" vertical="center" indent="1"/>
    </xf>
    <xf numFmtId="0" fontId="4" fillId="0" borderId="48" xfId="0" applyFont="1" applyBorder="1" applyAlignment="1">
      <alignment horizontal="left" vertical="center"/>
    </xf>
    <xf numFmtId="3" fontId="3" fillId="0" borderId="55" xfId="0" applyNumberFormat="1" applyFont="1" applyBorder="1" applyAlignment="1">
      <alignment horizontal="right" vertical="center" indent="1"/>
    </xf>
    <xf numFmtId="3" fontId="3" fillId="0" borderId="34" xfId="0" applyNumberFormat="1" applyFont="1" applyBorder="1" applyAlignment="1">
      <alignment horizontal="right" vertical="center" indent="1"/>
    </xf>
    <xf numFmtId="3" fontId="3" fillId="0" borderId="19" xfId="0" applyNumberFormat="1" applyFont="1" applyBorder="1" applyAlignment="1">
      <alignment horizontal="right" vertical="center" indent="1"/>
    </xf>
    <xf numFmtId="3" fontId="3" fillId="0" borderId="20" xfId="0" applyNumberFormat="1" applyFont="1" applyBorder="1" applyAlignment="1">
      <alignment horizontal="right" vertical="center" indent="1"/>
    </xf>
    <xf numFmtId="3" fontId="3" fillId="0" borderId="21" xfId="0" applyNumberFormat="1" applyFon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/>
    </xf>
    <xf numFmtId="165" fontId="0" fillId="0" borderId="25" xfId="0" applyNumberFormat="1" applyBorder="1" applyAlignment="1">
      <alignment horizontal="right" vertical="center"/>
    </xf>
    <xf numFmtId="0" fontId="4" fillId="0" borderId="41" xfId="0" applyFont="1" applyBorder="1" applyAlignment="1">
      <alignment vertical="center" wrapText="1"/>
    </xf>
    <xf numFmtId="166" fontId="3" fillId="0" borderId="23" xfId="0" applyNumberFormat="1" applyFont="1" applyBorder="1" applyAlignment="1">
      <alignment horizontal="right" vertical="center"/>
    </xf>
    <xf numFmtId="166" fontId="3" fillId="0" borderId="24" xfId="0" applyNumberFormat="1" applyFont="1" applyBorder="1" applyAlignment="1">
      <alignment horizontal="right" vertical="center"/>
    </xf>
    <xf numFmtId="165" fontId="3" fillId="0" borderId="23" xfId="0" applyNumberFormat="1" applyFont="1" applyBorder="1" applyAlignment="1">
      <alignment horizontal="right" vertical="center"/>
    </xf>
    <xf numFmtId="165" fontId="3" fillId="0" borderId="24" xfId="0" applyNumberFormat="1" applyFont="1" applyBorder="1" applyAlignment="1">
      <alignment horizontal="right" vertical="center"/>
    </xf>
    <xf numFmtId="165" fontId="3" fillId="0" borderId="24" xfId="2" applyNumberFormat="1" applyFont="1" applyBorder="1" applyAlignment="1" applyProtection="1">
      <alignment horizontal="right" vertical="center"/>
    </xf>
    <xf numFmtId="0" fontId="4" fillId="0" borderId="42" xfId="0" applyFont="1" applyBorder="1" applyAlignment="1">
      <alignment vertical="center" wrapText="1"/>
    </xf>
    <xf numFmtId="10" fontId="3" fillId="0" borderId="15" xfId="0" applyNumberFormat="1" applyFont="1" applyBorder="1" applyAlignment="1">
      <alignment horizontal="right" vertical="center"/>
    </xf>
    <xf numFmtId="10" fontId="3" fillId="0" borderId="16" xfId="0" applyNumberFormat="1" applyFont="1" applyBorder="1" applyAlignment="1">
      <alignment horizontal="right" vertical="center"/>
    </xf>
    <xf numFmtId="10" fontId="3" fillId="0" borderId="17" xfId="0" applyNumberFormat="1" applyFont="1" applyBorder="1" applyAlignment="1">
      <alignment horizontal="right" vertical="center"/>
    </xf>
    <xf numFmtId="10" fontId="3" fillId="0" borderId="23" xfId="0" applyNumberFormat="1" applyFont="1" applyBorder="1" applyAlignment="1">
      <alignment horizontal="right" vertical="center"/>
    </xf>
    <xf numFmtId="10" fontId="3" fillId="0" borderId="24" xfId="0" applyNumberFormat="1" applyFont="1" applyBorder="1" applyAlignment="1">
      <alignment horizontal="right" vertical="center"/>
    </xf>
    <xf numFmtId="10" fontId="3" fillId="0" borderId="25" xfId="0" applyNumberFormat="1" applyFont="1" applyBorder="1" applyAlignment="1">
      <alignment horizontal="right" vertical="center"/>
    </xf>
    <xf numFmtId="3" fontId="3" fillId="0" borderId="45" xfId="0" applyNumberFormat="1" applyFont="1" applyBorder="1" applyAlignment="1">
      <alignment horizontal="right" vertical="center"/>
    </xf>
    <xf numFmtId="3" fontId="3" fillId="0" borderId="46" xfId="0" applyNumberFormat="1" applyFont="1" applyBorder="1" applyAlignment="1">
      <alignment horizontal="right" vertical="center"/>
    </xf>
    <xf numFmtId="0" fontId="4" fillId="0" borderId="48" xfId="0" applyFont="1" applyBorder="1" applyAlignment="1">
      <alignment vertical="center"/>
    </xf>
    <xf numFmtId="3" fontId="3" fillId="0" borderId="55" xfId="0" applyNumberFormat="1" applyFont="1" applyBorder="1" applyAlignment="1">
      <alignment horizontal="right" vertical="center"/>
    </xf>
    <xf numFmtId="3" fontId="3" fillId="0" borderId="58" xfId="0" applyNumberFormat="1" applyFont="1" applyBorder="1" applyAlignment="1">
      <alignment horizontal="right" vertical="center"/>
    </xf>
    <xf numFmtId="3" fontId="3" fillId="0" borderId="47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165" fontId="0" fillId="0" borderId="51" xfId="0" applyNumberFormat="1" applyBorder="1" applyAlignment="1">
      <alignment horizontal="right" vertical="center"/>
    </xf>
    <xf numFmtId="165" fontId="0" fillId="0" borderId="38" xfId="0" applyNumberFormat="1" applyBorder="1" applyAlignment="1">
      <alignment horizontal="right" vertical="center"/>
    </xf>
    <xf numFmtId="164" fontId="0" fillId="0" borderId="26" xfId="0" applyNumberFormat="1" applyBorder="1" applyAlignment="1">
      <alignment horizontal="right" vertical="center"/>
    </xf>
    <xf numFmtId="164" fontId="0" fillId="0" borderId="27" xfId="0" applyNumberForma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0" fontId="4" fillId="0" borderId="44" xfId="0" applyFont="1" applyBorder="1" applyAlignment="1">
      <alignment horizontal="left" vertical="center" indent="3"/>
    </xf>
    <xf numFmtId="165" fontId="0" fillId="0" borderId="53" xfId="0" applyNumberFormat="1" applyBorder="1" applyAlignment="1">
      <alignment horizontal="right" vertical="center"/>
    </xf>
    <xf numFmtId="165" fontId="0" fillId="0" borderId="33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5" fontId="0" fillId="0" borderId="52" xfId="0" applyNumberFormat="1" applyBorder="1" applyAlignment="1">
      <alignment horizontal="right" vertical="center"/>
    </xf>
    <xf numFmtId="165" fontId="0" fillId="0" borderId="36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24" xfId="0" applyNumberForma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center"/>
    </xf>
    <xf numFmtId="10" fontId="3" fillId="0" borderId="52" xfId="0" applyNumberFormat="1" applyFont="1" applyBorder="1" applyAlignment="1">
      <alignment horizontal="right" vertical="center"/>
    </xf>
    <xf numFmtId="10" fontId="3" fillId="0" borderId="36" xfId="1" applyNumberFormat="1" applyFont="1" applyBorder="1" applyAlignment="1" applyProtection="1">
      <alignment horizontal="right" vertical="center"/>
    </xf>
    <xf numFmtId="0" fontId="1" fillId="0" borderId="28" xfId="0" applyFont="1" applyBorder="1" applyAlignment="1">
      <alignment horizontal="right" vertical="center"/>
    </xf>
    <xf numFmtId="3" fontId="11" fillId="0" borderId="50" xfId="0" applyNumberFormat="1" applyFont="1" applyBorder="1" applyAlignment="1">
      <alignment horizontal="right" vertical="center"/>
    </xf>
    <xf numFmtId="3" fontId="11" fillId="0" borderId="59" xfId="0" applyNumberFormat="1" applyFont="1" applyBorder="1" applyAlignment="1">
      <alignment horizontal="right" vertical="center"/>
    </xf>
    <xf numFmtId="165" fontId="0" fillId="0" borderId="26" xfId="0" applyNumberFormat="1" applyBorder="1" applyAlignment="1">
      <alignment horizontal="right" vertical="center"/>
    </xf>
    <xf numFmtId="165" fontId="0" fillId="0" borderId="27" xfId="0" applyNumberFormat="1" applyBorder="1" applyAlignment="1">
      <alignment horizontal="right" vertical="center"/>
    </xf>
    <xf numFmtId="165" fontId="0" fillId="0" borderId="28" xfId="0" applyNumberFormat="1" applyBorder="1" applyAlignment="1">
      <alignment horizontal="right" vertical="center"/>
    </xf>
    <xf numFmtId="0" fontId="4" fillId="0" borderId="49" xfId="0" applyFont="1" applyBorder="1" applyAlignment="1">
      <alignment vertical="center"/>
    </xf>
    <xf numFmtId="0" fontId="3" fillId="0" borderId="56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4" fillId="0" borderId="48" xfId="0" applyFont="1" applyBorder="1" applyAlignment="1">
      <alignment wrapText="1"/>
    </xf>
    <xf numFmtId="3" fontId="12" fillId="0" borderId="24" xfId="0" applyNumberFormat="1" applyFont="1" applyBorder="1" applyAlignment="1">
      <alignment horizontal="right" vertical="center" wrapText="1"/>
    </xf>
    <xf numFmtId="0" fontId="10" fillId="7" borderId="39" xfId="0" applyFont="1" applyFill="1" applyBorder="1" applyAlignment="1">
      <alignment horizontal="right" vertical="center" wrapText="1"/>
    </xf>
    <xf numFmtId="165" fontId="3" fillId="0" borderId="15" xfId="0" applyNumberFormat="1" applyFont="1" applyBorder="1" applyAlignment="1">
      <alignment horizontal="right" vertical="center"/>
    </xf>
    <xf numFmtId="165" fontId="3" fillId="0" borderId="16" xfId="0" applyNumberFormat="1" applyFont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165" fontId="2" fillId="7" borderId="39" xfId="0" applyNumberFormat="1" applyFont="1" applyFill="1" applyBorder="1" applyAlignment="1">
      <alignment horizontal="right" vertical="center"/>
    </xf>
    <xf numFmtId="3" fontId="2" fillId="7" borderId="39" xfId="0" applyNumberFormat="1" applyFont="1" applyFill="1" applyBorder="1" applyAlignment="1">
      <alignment horizontal="right" vertical="center"/>
    </xf>
    <xf numFmtId="3" fontId="2" fillId="7" borderId="37" xfId="0" applyNumberFormat="1" applyFont="1" applyFill="1" applyBorder="1" applyAlignment="1">
      <alignment horizontal="right" vertical="center"/>
    </xf>
    <xf numFmtId="0" fontId="2" fillId="7" borderId="39" xfId="0" applyFont="1" applyFill="1" applyBorder="1" applyAlignment="1">
      <alignment horizontal="right" vertical="center"/>
    </xf>
    <xf numFmtId="0" fontId="2" fillId="7" borderId="32" xfId="0" applyFont="1" applyFill="1" applyBorder="1" applyAlignment="1">
      <alignment horizontal="right" vertical="center"/>
    </xf>
    <xf numFmtId="3" fontId="2" fillId="7" borderId="32" xfId="0" applyNumberFormat="1" applyFont="1" applyFill="1" applyBorder="1" applyAlignment="1">
      <alignment horizontal="right" vertical="center"/>
    </xf>
    <xf numFmtId="0" fontId="2" fillId="7" borderId="37" xfId="0" applyFont="1" applyFill="1" applyBorder="1" applyAlignment="1">
      <alignment horizontal="right" vertical="center"/>
    </xf>
    <xf numFmtId="0" fontId="2" fillId="7" borderId="22" xfId="0" applyFont="1" applyFill="1" applyBorder="1" applyAlignment="1">
      <alignment horizontal="right" vertical="center"/>
    </xf>
    <xf numFmtId="0" fontId="2" fillId="7" borderId="40" xfId="0" applyFont="1" applyFill="1" applyBorder="1" applyAlignment="1">
      <alignment horizontal="right" vertical="center"/>
    </xf>
    <xf numFmtId="3" fontId="2" fillId="7" borderId="32" xfId="0" applyNumberFormat="1" applyFont="1" applyFill="1" applyBorder="1" applyAlignment="1">
      <alignment horizontal="right" vertical="center" indent="1"/>
    </xf>
    <xf numFmtId="3" fontId="2" fillId="7" borderId="22" xfId="0" applyNumberFormat="1" applyFont="1" applyFill="1" applyBorder="1" applyAlignment="1">
      <alignment horizontal="right" vertical="center" indent="1"/>
    </xf>
    <xf numFmtId="3" fontId="2" fillId="0" borderId="40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164" fontId="2" fillId="7" borderId="39" xfId="0" applyNumberFormat="1" applyFont="1" applyFill="1" applyBorder="1" applyAlignment="1">
      <alignment horizontal="right" vertical="center"/>
    </xf>
    <xf numFmtId="164" fontId="2" fillId="7" borderId="32" xfId="0" applyNumberFormat="1" applyFont="1" applyFill="1" applyBorder="1" applyAlignment="1">
      <alignment horizontal="right" vertical="center"/>
    </xf>
    <xf numFmtId="164" fontId="2" fillId="7" borderId="37" xfId="0" applyNumberFormat="1" applyFont="1" applyFill="1" applyBorder="1" applyAlignment="1">
      <alignment horizontal="right" vertical="center"/>
    </xf>
    <xf numFmtId="10" fontId="2" fillId="7" borderId="37" xfId="0" applyNumberFormat="1" applyFont="1" applyFill="1" applyBorder="1" applyAlignment="1">
      <alignment horizontal="right" vertical="center"/>
    </xf>
    <xf numFmtId="0" fontId="10" fillId="7" borderId="31" xfId="0" applyFont="1" applyFill="1" applyBorder="1" applyAlignment="1">
      <alignment horizontal="right" vertical="center" wrapText="1"/>
    </xf>
    <xf numFmtId="0" fontId="10" fillId="7" borderId="22" xfId="0" applyFont="1" applyFill="1" applyBorder="1" applyAlignment="1">
      <alignment horizontal="right" vertical="center" wrapText="1"/>
    </xf>
    <xf numFmtId="165" fontId="13" fillId="7" borderId="39" xfId="0" applyNumberFormat="1" applyFont="1" applyFill="1" applyBorder="1" applyAlignment="1">
      <alignment horizontal="right" vertical="center"/>
    </xf>
    <xf numFmtId="0" fontId="0" fillId="6" borderId="0" xfId="0" applyFill="1"/>
    <xf numFmtId="0" fontId="0" fillId="5" borderId="0" xfId="0" applyFill="1"/>
    <xf numFmtId="49" fontId="0" fillId="0" borderId="0" xfId="0" applyNumberFormat="1"/>
    <xf numFmtId="0" fontId="0" fillId="7" borderId="0" xfId="0" applyFill="1"/>
    <xf numFmtId="0" fontId="0" fillId="4" borderId="0" xfId="0" applyFill="1"/>
    <xf numFmtId="0" fontId="4" fillId="0" borderId="42" xfId="0" applyFont="1" applyBorder="1" applyAlignment="1">
      <alignment horizontal="left" vertical="center" wrapText="1" indent="5"/>
    </xf>
    <xf numFmtId="0" fontId="4" fillId="0" borderId="42" xfId="0" applyFont="1" applyBorder="1" applyAlignment="1">
      <alignment horizontal="left" vertical="center" wrapText="1" indent="6"/>
    </xf>
    <xf numFmtId="0" fontId="4" fillId="0" borderId="42" xfId="0" applyFont="1" applyBorder="1" applyAlignment="1">
      <alignment horizontal="left" vertical="center" indent="5"/>
    </xf>
    <xf numFmtId="0" fontId="8" fillId="0" borderId="42" xfId="0" applyFont="1" applyBorder="1" applyAlignment="1">
      <alignment horizontal="left" vertical="center" indent="5"/>
    </xf>
    <xf numFmtId="0" fontId="8" fillId="0" borderId="48" xfId="0" applyFont="1" applyBorder="1" applyAlignment="1">
      <alignment horizontal="left" vertical="center" indent="5"/>
    </xf>
    <xf numFmtId="0" fontId="4" fillId="0" borderId="41" xfId="0" applyFont="1" applyBorder="1" applyAlignment="1">
      <alignment horizontal="left" vertical="center" indent="5"/>
    </xf>
    <xf numFmtId="0" fontId="4" fillId="0" borderId="48" xfId="0" applyFont="1" applyBorder="1" applyAlignment="1">
      <alignment horizontal="left" vertical="center" indent="5"/>
    </xf>
    <xf numFmtId="0" fontId="4" fillId="0" borderId="42" xfId="0" applyFont="1" applyBorder="1" applyAlignment="1">
      <alignment horizontal="left" vertical="center" indent="6"/>
    </xf>
    <xf numFmtId="0" fontId="4" fillId="0" borderId="44" xfId="0" applyFont="1" applyBorder="1" applyAlignment="1">
      <alignment horizontal="left" vertical="center" indent="5"/>
    </xf>
    <xf numFmtId="164" fontId="13" fillId="7" borderId="39" xfId="0" applyNumberFormat="1" applyFont="1" applyFill="1" applyBorder="1" applyAlignment="1">
      <alignment horizontal="right" vertical="center"/>
    </xf>
    <xf numFmtId="164" fontId="13" fillId="7" borderId="32" xfId="0" applyNumberFormat="1" applyFont="1" applyFill="1" applyBorder="1" applyAlignment="1">
      <alignment horizontal="right" vertical="center"/>
    </xf>
    <xf numFmtId="164" fontId="13" fillId="7" borderId="37" xfId="0" applyNumberFormat="1" applyFont="1" applyFill="1" applyBorder="1" applyAlignment="1">
      <alignment horizontal="right" vertical="center"/>
    </xf>
    <xf numFmtId="0" fontId="3" fillId="0" borderId="24" xfId="0" applyFont="1" applyBorder="1" applyAlignment="1">
      <alignment horizontal="right" vertical="center" wrapText="1"/>
    </xf>
    <xf numFmtId="10" fontId="3" fillId="0" borderId="24" xfId="0" applyNumberFormat="1" applyFont="1" applyBorder="1" applyAlignment="1">
      <alignment horizontal="right" vertical="center" wrapText="1"/>
    </xf>
    <xf numFmtId="165" fontId="3" fillId="0" borderId="25" xfId="0" applyNumberFormat="1" applyFont="1" applyBorder="1" applyAlignment="1">
      <alignment horizontal="right" vertical="center"/>
    </xf>
    <xf numFmtId="166" fontId="3" fillId="0" borderId="25" xfId="0" applyNumberFormat="1" applyFont="1" applyBorder="1" applyAlignment="1">
      <alignment horizontal="right" vertical="center"/>
    </xf>
    <xf numFmtId="165" fontId="12" fillId="0" borderId="25" xfId="0" applyNumberFormat="1" applyFont="1" applyBorder="1" applyAlignment="1">
      <alignment horizontal="right" vertical="center" wrapText="1"/>
    </xf>
    <xf numFmtId="165" fontId="12" fillId="0" borderId="21" xfId="0" applyNumberFormat="1" applyFont="1" applyBorder="1" applyAlignment="1">
      <alignment horizontal="right" vertical="center" wrapText="1"/>
    </xf>
    <xf numFmtId="0" fontId="12" fillId="0" borderId="28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10" fillId="8" borderId="39" xfId="0" applyFont="1" applyFill="1" applyBorder="1" applyAlignment="1">
      <alignment horizontal="right" vertical="center" wrapText="1"/>
    </xf>
    <xf numFmtId="0" fontId="3" fillId="0" borderId="51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3" fontId="4" fillId="0" borderId="72" xfId="0" applyNumberFormat="1" applyFont="1" applyBorder="1" applyAlignment="1">
      <alignment horizontal="right" vertical="center" wrapText="1"/>
    </xf>
    <xf numFmtId="3" fontId="4" fillId="0" borderId="73" xfId="0" applyNumberFormat="1" applyFont="1" applyBorder="1" applyAlignment="1">
      <alignment horizontal="right" vertical="center" wrapText="1"/>
    </xf>
    <xf numFmtId="3" fontId="4" fillId="0" borderId="74" xfId="0" applyNumberFormat="1" applyFont="1" applyBorder="1" applyAlignment="1">
      <alignment horizontal="right" vertical="center" wrapText="1"/>
    </xf>
    <xf numFmtId="10" fontId="4" fillId="0" borderId="19" xfId="0" applyNumberFormat="1" applyFont="1" applyBorder="1" applyAlignment="1">
      <alignment horizontal="right" vertical="center" wrapText="1"/>
    </xf>
    <xf numFmtId="0" fontId="3" fillId="0" borderId="53" xfId="0" applyFont="1" applyBorder="1" applyAlignment="1">
      <alignment horizontal="right" vertical="center" wrapText="1"/>
    </xf>
    <xf numFmtId="165" fontId="3" fillId="0" borderId="23" xfId="0" applyNumberFormat="1" applyFont="1" applyBorder="1" applyAlignment="1">
      <alignment horizontal="right" vertical="center" wrapText="1"/>
    </xf>
    <xf numFmtId="165" fontId="3" fillId="0" borderId="26" xfId="0" applyNumberFormat="1" applyFont="1" applyBorder="1" applyAlignment="1">
      <alignment horizontal="right" vertical="center"/>
    </xf>
    <xf numFmtId="10" fontId="3" fillId="0" borderId="15" xfId="0" applyNumberFormat="1" applyFont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41" fontId="2" fillId="7" borderId="40" xfId="3" applyNumberFormat="1" applyFont="1" applyFill="1" applyBorder="1" applyAlignment="1" applyProtection="1">
      <alignment horizontal="right" vertical="center"/>
    </xf>
    <xf numFmtId="165" fontId="3" fillId="0" borderId="24" xfId="0" applyNumberFormat="1" applyFont="1" applyBorder="1" applyAlignment="1">
      <alignment horizontal="right" vertical="center" wrapText="1"/>
    </xf>
    <xf numFmtId="3" fontId="16" fillId="0" borderId="27" xfId="0" applyNumberFormat="1" applyFont="1" applyBorder="1" applyAlignment="1">
      <alignment horizontal="right" vertical="center" indent="1"/>
    </xf>
    <xf numFmtId="3" fontId="16" fillId="0" borderId="16" xfId="0" applyNumberFormat="1" applyFont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10" fontId="3" fillId="0" borderId="76" xfId="0" applyNumberFormat="1" applyFont="1" applyBorder="1" applyAlignment="1">
      <alignment horizontal="right" vertical="center"/>
    </xf>
    <xf numFmtId="164" fontId="17" fillId="0" borderId="27" xfId="0" applyNumberFormat="1" applyFont="1" applyBorder="1" applyAlignment="1">
      <alignment horizontal="right" vertical="center"/>
    </xf>
    <xf numFmtId="0" fontId="16" fillId="0" borderId="27" xfId="0" applyFont="1" applyBorder="1" applyAlignment="1">
      <alignment horizontal="right" vertical="center"/>
    </xf>
    <xf numFmtId="166" fontId="16" fillId="0" borderId="24" xfId="0" applyNumberFormat="1" applyFont="1" applyBorder="1" applyAlignment="1">
      <alignment horizontal="right" vertical="center"/>
    </xf>
    <xf numFmtId="3" fontId="16" fillId="0" borderId="27" xfId="0" applyNumberFormat="1" applyFont="1" applyBorder="1" applyAlignment="1">
      <alignment horizontal="right" vertical="center"/>
    </xf>
    <xf numFmtId="10" fontId="12" fillId="0" borderId="24" xfId="0" applyNumberFormat="1" applyFont="1" applyBorder="1" applyAlignment="1">
      <alignment horizontal="right" vertical="center" wrapText="1"/>
    </xf>
    <xf numFmtId="3" fontId="12" fillId="0" borderId="20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10" fontId="4" fillId="0" borderId="47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165" fontId="3" fillId="0" borderId="27" xfId="0" applyNumberFormat="1" applyFont="1" applyBorder="1" applyAlignment="1">
      <alignment horizontal="right" vertical="center" wrapText="1"/>
    </xf>
    <xf numFmtId="10" fontId="12" fillId="0" borderId="16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horizontal="right" vertical="center" wrapText="1"/>
    </xf>
    <xf numFmtId="10" fontId="16" fillId="0" borderId="24" xfId="0" applyNumberFormat="1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left" vertical="center"/>
    </xf>
    <xf numFmtId="49" fontId="3" fillId="0" borderId="23" xfId="0" applyNumberFormat="1" applyFont="1" applyBorder="1" applyAlignment="1">
      <alignment horizontal="right" vertical="center" wrapText="1"/>
    </xf>
    <xf numFmtId="0" fontId="3" fillId="0" borderId="77" xfId="0" applyFont="1" applyBorder="1" applyAlignment="1">
      <alignment horizontal="right" vertical="center" wrapText="1"/>
    </xf>
    <xf numFmtId="3" fontId="16" fillId="0" borderId="16" xfId="0" applyNumberFormat="1" applyFont="1" applyBorder="1" applyAlignment="1">
      <alignment horizontal="right" vertical="center" indent="1"/>
    </xf>
    <xf numFmtId="3" fontId="12" fillId="0" borderId="16" xfId="0" applyNumberFormat="1" applyFont="1" applyBorder="1" applyAlignment="1">
      <alignment horizontal="right" vertical="center" wrapText="1"/>
    </xf>
    <xf numFmtId="0" fontId="8" fillId="0" borderId="34" xfId="0" applyFont="1" applyBorder="1" applyAlignment="1">
      <alignment horizontal="left" vertical="center" indent="5"/>
    </xf>
    <xf numFmtId="0" fontId="3" fillId="0" borderId="20" xfId="0" applyFont="1" applyBorder="1" applyAlignment="1">
      <alignment horizontal="right" vertical="center" wrapText="1"/>
    </xf>
    <xf numFmtId="0" fontId="4" fillId="0" borderId="34" xfId="0" applyFont="1" applyBorder="1" applyAlignment="1">
      <alignment horizontal="left" vertical="center" indent="5"/>
    </xf>
    <xf numFmtId="0" fontId="3" fillId="0" borderId="21" xfId="0" applyFont="1" applyBorder="1" applyAlignment="1">
      <alignment horizontal="right" vertical="center" wrapText="1"/>
    </xf>
    <xf numFmtId="0" fontId="19" fillId="7" borderId="22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/>
    </xf>
    <xf numFmtId="0" fontId="4" fillId="0" borderId="27" xfId="0" applyFont="1" applyBorder="1" applyAlignment="1">
      <alignment vertical="center"/>
    </xf>
    <xf numFmtId="0" fontId="12" fillId="0" borderId="16" xfId="0" applyFont="1" applyBorder="1" applyAlignment="1">
      <alignment horizontal="right" vertical="center" wrapText="1"/>
    </xf>
    <xf numFmtId="165" fontId="3" fillId="0" borderId="0" xfId="0" applyNumberFormat="1" applyFont="1" applyAlignment="1">
      <alignment vertical="center"/>
    </xf>
    <xf numFmtId="0" fontId="16" fillId="0" borderId="16" xfId="0" applyFont="1" applyBorder="1" applyAlignment="1">
      <alignment horizontal="right" vertical="center"/>
    </xf>
    <xf numFmtId="164" fontId="17" fillId="0" borderId="16" xfId="0" applyNumberFormat="1" applyFont="1" applyBorder="1" applyAlignment="1">
      <alignment horizontal="right" vertical="center"/>
    </xf>
    <xf numFmtId="164" fontId="17" fillId="0" borderId="24" xfId="0" applyNumberFormat="1" applyFont="1" applyBorder="1" applyAlignment="1">
      <alignment horizontal="right" vertical="center"/>
    </xf>
    <xf numFmtId="165" fontId="16" fillId="0" borderId="24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 indent="1"/>
    </xf>
    <xf numFmtId="0" fontId="3" fillId="8" borderId="54" xfId="0" applyFont="1" applyFill="1" applyBorder="1" applyAlignment="1">
      <alignment horizontal="right" vertical="center"/>
    </xf>
    <xf numFmtId="0" fontId="3" fillId="8" borderId="65" xfId="0" applyFont="1" applyFill="1" applyBorder="1" applyAlignment="1">
      <alignment horizontal="center" vertical="center"/>
    </xf>
    <xf numFmtId="3" fontId="3" fillId="8" borderId="43" xfId="0" applyNumberFormat="1" applyFont="1" applyFill="1" applyBorder="1" applyAlignment="1">
      <alignment horizontal="right" vertical="center"/>
    </xf>
    <xf numFmtId="0" fontId="3" fillId="8" borderId="54" xfId="0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0" fontId="16" fillId="0" borderId="77" xfId="0" applyFont="1" applyBorder="1" applyAlignment="1">
      <alignment horizontal="right" vertical="center" wrapText="1"/>
    </xf>
    <xf numFmtId="0" fontId="3" fillId="8" borderId="30" xfId="0" applyFont="1" applyFill="1" applyBorder="1" applyAlignment="1">
      <alignment horizontal="right" vertical="center"/>
    </xf>
    <xf numFmtId="10" fontId="12" fillId="0" borderId="17" xfId="0" applyNumberFormat="1" applyFont="1" applyBorder="1" applyAlignment="1">
      <alignment horizontal="right" vertical="center" wrapText="1"/>
    </xf>
    <xf numFmtId="10" fontId="12" fillId="0" borderId="25" xfId="0" applyNumberFormat="1" applyFont="1" applyBorder="1" applyAlignment="1">
      <alignment horizontal="right" vertical="center" wrapText="1"/>
    </xf>
    <xf numFmtId="3" fontId="12" fillId="0" borderId="21" xfId="0" applyNumberFormat="1" applyFont="1" applyBorder="1" applyAlignment="1">
      <alignment horizontal="right" vertical="center" wrapText="1"/>
    </xf>
    <xf numFmtId="164" fontId="17" fillId="0" borderId="28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10" fontId="16" fillId="0" borderId="25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 indent="1"/>
    </xf>
    <xf numFmtId="0" fontId="12" fillId="0" borderId="51" xfId="0" applyFont="1" applyBorder="1" applyAlignment="1">
      <alignment horizontal="right" vertical="center" wrapText="1"/>
    </xf>
    <xf numFmtId="0" fontId="4" fillId="0" borderId="29" xfId="0" applyFont="1" applyBorder="1" applyAlignment="1">
      <alignment vertical="center" wrapText="1"/>
    </xf>
    <xf numFmtId="0" fontId="3" fillId="8" borderId="0" xfId="0" applyFont="1" applyFill="1" applyAlignment="1">
      <alignment horizontal="right" vertical="center"/>
    </xf>
    <xf numFmtId="0" fontId="3" fillId="8" borderId="0" xfId="0" applyFont="1" applyFill="1" applyAlignment="1">
      <alignment horizontal="center" vertical="center"/>
    </xf>
    <xf numFmtId="3" fontId="2" fillId="7" borderId="39" xfId="0" applyNumberFormat="1" applyFont="1" applyFill="1" applyBorder="1" applyAlignment="1">
      <alignment horizontal="right" vertical="center" indent="1"/>
    </xf>
    <xf numFmtId="0" fontId="3" fillId="0" borderId="78" xfId="0" applyFont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3" fillId="8" borderId="79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10" fillId="8" borderId="40" xfId="0" applyFont="1" applyFill="1" applyBorder="1" applyAlignment="1">
      <alignment horizontal="right" vertical="center" wrapText="1"/>
    </xf>
    <xf numFmtId="0" fontId="3" fillId="0" borderId="82" xfId="0" applyFont="1" applyBorder="1" applyAlignment="1">
      <alignment horizontal="right" vertical="center"/>
    </xf>
    <xf numFmtId="0" fontId="3" fillId="0" borderId="83" xfId="0" applyFont="1" applyBorder="1" applyAlignment="1">
      <alignment horizontal="right" vertical="center"/>
    </xf>
    <xf numFmtId="0" fontId="4" fillId="0" borderId="44" xfId="0" applyFont="1" applyBorder="1" applyAlignment="1">
      <alignment horizontal="left" vertical="center" wrapText="1"/>
    </xf>
    <xf numFmtId="165" fontId="16" fillId="0" borderId="25" xfId="0" applyNumberFormat="1" applyFont="1" applyBorder="1" applyAlignment="1">
      <alignment horizontal="right" vertical="center"/>
    </xf>
    <xf numFmtId="164" fontId="17" fillId="0" borderId="26" xfId="0" applyNumberFormat="1" applyFont="1" applyBorder="1" applyAlignment="1">
      <alignment horizontal="right" vertical="center"/>
    </xf>
    <xf numFmtId="0" fontId="2" fillId="10" borderId="29" xfId="0" applyFont="1" applyFill="1" applyBorder="1"/>
    <xf numFmtId="0" fontId="8" fillId="9" borderId="29" xfId="0" applyFont="1" applyFill="1" applyBorder="1"/>
    <xf numFmtId="49" fontId="4" fillId="10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center" vertical="center"/>
    </xf>
    <xf numFmtId="49" fontId="4" fillId="10" borderId="30" xfId="0" applyNumberFormat="1" applyFont="1" applyFill="1" applyBorder="1" applyAlignment="1">
      <alignment horizontal="center" vertical="center"/>
    </xf>
    <xf numFmtId="0" fontId="4" fillId="9" borderId="0" xfId="0" applyFont="1" applyFill="1"/>
    <xf numFmtId="0" fontId="4" fillId="9" borderId="30" xfId="0" applyFont="1" applyFill="1" applyBorder="1"/>
    <xf numFmtId="0" fontId="4" fillId="10" borderId="0" xfId="0" applyFont="1" applyFill="1"/>
    <xf numFmtId="0" fontId="4" fillId="10" borderId="30" xfId="0" applyFont="1" applyFill="1" applyBorder="1"/>
    <xf numFmtId="49" fontId="4" fillId="9" borderId="0" xfId="0" applyNumberFormat="1" applyFont="1" applyFill="1" applyAlignment="1">
      <alignment horizontal="center" vertical="center"/>
    </xf>
    <xf numFmtId="49" fontId="4" fillId="9" borderId="30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0" fontId="4" fillId="0" borderId="44" xfId="0" applyFont="1" applyBorder="1" applyAlignment="1">
      <alignment horizontal="left" indent="8"/>
    </xf>
    <xf numFmtId="0" fontId="4" fillId="0" borderId="42" xfId="0" applyFont="1" applyBorder="1" applyAlignment="1">
      <alignment horizontal="left" indent="8"/>
    </xf>
    <xf numFmtId="0" fontId="4" fillId="0" borderId="41" xfId="0" applyFont="1" applyBorder="1" applyAlignment="1">
      <alignment horizontal="left" indent="8"/>
    </xf>
    <xf numFmtId="49" fontId="4" fillId="8" borderId="54" xfId="0" applyNumberFormat="1" applyFont="1" applyFill="1" applyBorder="1" applyAlignment="1">
      <alignment horizontal="center" vertical="center"/>
    </xf>
    <xf numFmtId="49" fontId="4" fillId="8" borderId="43" xfId="0" applyNumberFormat="1" applyFont="1" applyFill="1" applyBorder="1" applyAlignment="1">
      <alignment horizontal="center" vertical="center"/>
    </xf>
    <xf numFmtId="2" fontId="4" fillId="8" borderId="54" xfId="0" applyNumberFormat="1" applyFont="1" applyFill="1" applyBorder="1" applyAlignment="1">
      <alignment horizontal="center" vertical="center"/>
    </xf>
    <xf numFmtId="0" fontId="4" fillId="0" borderId="48" xfId="0" applyFont="1" applyBorder="1" applyAlignment="1">
      <alignment horizontal="left" indent="8"/>
    </xf>
    <xf numFmtId="49" fontId="4" fillId="8" borderId="65" xfId="0" applyNumberFormat="1" applyFont="1" applyFill="1" applyBorder="1" applyAlignment="1">
      <alignment horizontal="center" vertical="center"/>
    </xf>
    <xf numFmtId="49" fontId="4" fillId="8" borderId="66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right" vertical="center" wrapText="1"/>
    </xf>
    <xf numFmtId="3" fontId="3" fillId="4" borderId="0" xfId="0" applyNumberFormat="1" applyFont="1" applyFill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0" fontId="3" fillId="8" borderId="54" xfId="0" applyFont="1" applyFill="1" applyBorder="1" applyAlignment="1">
      <alignment horizontal="right" vertical="center" wrapText="1"/>
    </xf>
    <xf numFmtId="0" fontId="4" fillId="0" borderId="38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 indent="5"/>
    </xf>
    <xf numFmtId="0" fontId="4" fillId="0" borderId="36" xfId="0" applyFont="1" applyBorder="1" applyAlignment="1">
      <alignment horizontal="left" vertical="center" wrapText="1"/>
    </xf>
    <xf numFmtId="0" fontId="4" fillId="8" borderId="54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65" xfId="0" applyFont="1" applyFill="1" applyBorder="1" applyAlignment="1">
      <alignment horizontal="center" vertical="center"/>
    </xf>
    <xf numFmtId="0" fontId="4" fillId="8" borderId="7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right" vertical="center"/>
    </xf>
    <xf numFmtId="3" fontId="2" fillId="8" borderId="37" xfId="0" applyNumberFormat="1" applyFont="1" applyFill="1" applyBorder="1" applyAlignment="1">
      <alignment horizontal="right" vertical="center"/>
    </xf>
    <xf numFmtId="3" fontId="2" fillId="8" borderId="40" xfId="0" applyNumberFormat="1" applyFont="1" applyFill="1" applyBorder="1" applyAlignment="1">
      <alignment horizontal="right" vertical="center"/>
    </xf>
    <xf numFmtId="3" fontId="2" fillId="8" borderId="39" xfId="0" applyNumberFormat="1" applyFont="1" applyFill="1" applyBorder="1" applyAlignment="1">
      <alignment horizontal="right" vertical="center"/>
    </xf>
    <xf numFmtId="3" fontId="20" fillId="8" borderId="82" xfId="0" applyNumberFormat="1" applyFont="1" applyFill="1" applyBorder="1" applyAlignment="1">
      <alignment horizontal="right" vertical="center" indent="1"/>
    </xf>
    <xf numFmtId="3" fontId="20" fillId="8" borderId="50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horizontal="right" vertical="center" wrapText="1"/>
    </xf>
    <xf numFmtId="166" fontId="3" fillId="0" borderId="46" xfId="0" applyNumberFormat="1" applyFont="1" applyBorder="1" applyAlignment="1">
      <alignment horizontal="right" vertical="center"/>
    </xf>
    <xf numFmtId="166" fontId="3" fillId="0" borderId="84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 indent="1"/>
    </xf>
    <xf numFmtId="3" fontId="16" fillId="0" borderId="85" xfId="0" applyNumberFormat="1" applyFont="1" applyBorder="1" applyAlignment="1">
      <alignment horizontal="right" vertical="center" indent="1"/>
    </xf>
    <xf numFmtId="3" fontId="5" fillId="7" borderId="39" xfId="0" applyNumberFormat="1" applyFont="1" applyFill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10" fontId="16" fillId="0" borderId="76" xfId="0" applyNumberFormat="1" applyFont="1" applyBorder="1" applyAlignment="1">
      <alignment horizontal="right" vertical="center"/>
    </xf>
    <xf numFmtId="3" fontId="11" fillId="0" borderId="73" xfId="0" applyNumberFormat="1" applyFont="1" applyBorder="1" applyAlignment="1">
      <alignment horizontal="right" vertical="center" wrapText="1"/>
    </xf>
    <xf numFmtId="10" fontId="21" fillId="0" borderId="47" xfId="0" applyNumberFormat="1" applyFont="1" applyBorder="1" applyAlignment="1">
      <alignment horizontal="right" vertical="center" wrapText="1"/>
    </xf>
    <xf numFmtId="0" fontId="11" fillId="0" borderId="26" xfId="0" applyFont="1" applyBorder="1" applyAlignment="1">
      <alignment horizontal="right" vertical="center" wrapText="1"/>
    </xf>
    <xf numFmtId="10" fontId="22" fillId="0" borderId="47" xfId="0" applyNumberFormat="1" applyFont="1" applyBorder="1" applyAlignment="1">
      <alignment horizontal="right" vertical="center" wrapText="1"/>
    </xf>
    <xf numFmtId="166" fontId="16" fillId="0" borderId="16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/>
    </xf>
    <xf numFmtId="3" fontId="2" fillId="7" borderId="22" xfId="0" applyNumberFormat="1" applyFont="1" applyFill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1" fontId="3" fillId="0" borderId="24" xfId="0" applyNumberFormat="1" applyFont="1" applyBorder="1" applyAlignment="1">
      <alignment horizontal="right" vertical="center" wrapText="1"/>
    </xf>
    <xf numFmtId="3" fontId="12" fillId="0" borderId="23" xfId="0" applyNumberFormat="1" applyFont="1" applyBorder="1" applyAlignment="1">
      <alignment horizontal="right" vertical="center" wrapText="1"/>
    </xf>
    <xf numFmtId="3" fontId="12" fillId="0" borderId="27" xfId="0" applyNumberFormat="1" applyFont="1" applyBorder="1" applyAlignment="1">
      <alignment horizontal="right" vertical="center" wrapText="1"/>
    </xf>
    <xf numFmtId="1" fontId="4" fillId="0" borderId="78" xfId="0" applyNumberFormat="1" applyFont="1" applyBorder="1" applyAlignment="1">
      <alignment horizontal="right" vertical="center"/>
    </xf>
    <xf numFmtId="1" fontId="4" fillId="0" borderId="27" xfId="0" applyNumberFormat="1" applyFont="1" applyBorder="1" applyAlignment="1">
      <alignment horizontal="right" vertical="center"/>
    </xf>
    <xf numFmtId="1" fontId="4" fillId="0" borderId="46" xfId="0" applyNumberFormat="1" applyFont="1" applyBorder="1" applyAlignment="1">
      <alignment horizontal="right" vertical="center"/>
    </xf>
    <xf numFmtId="1" fontId="4" fillId="0" borderId="16" xfId="0" applyNumberFormat="1" applyFont="1" applyBorder="1" applyAlignment="1">
      <alignment horizontal="right" vertical="center"/>
    </xf>
    <xf numFmtId="1" fontId="4" fillId="0" borderId="76" xfId="0" applyNumberFormat="1" applyFont="1" applyBorder="1" applyAlignment="1">
      <alignment horizontal="right" vertical="center"/>
    </xf>
    <xf numFmtId="1" fontId="4" fillId="0" borderId="28" xfId="0" applyNumberFormat="1" applyFont="1" applyBorder="1" applyAlignment="1">
      <alignment horizontal="right" vertical="center"/>
    </xf>
    <xf numFmtId="1" fontId="4" fillId="0" borderId="17" xfId="0" applyNumberFormat="1" applyFont="1" applyBorder="1" applyAlignment="1">
      <alignment horizontal="right" vertical="center"/>
    </xf>
    <xf numFmtId="1" fontId="4" fillId="0" borderId="25" xfId="0" applyNumberFormat="1" applyFont="1" applyBorder="1" applyAlignment="1">
      <alignment horizontal="right" vertical="center"/>
    </xf>
    <xf numFmtId="49" fontId="2" fillId="0" borderId="37" xfId="0" applyNumberFormat="1" applyFont="1" applyBorder="1" applyAlignment="1">
      <alignment horizontal="right" vertical="center"/>
    </xf>
    <xf numFmtId="49" fontId="4" fillId="0" borderId="76" xfId="0" applyNumberFormat="1" applyFont="1" applyBorder="1" applyAlignment="1">
      <alignment horizontal="right" vertical="center"/>
    </xf>
    <xf numFmtId="49" fontId="4" fillId="0" borderId="24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right" vertical="center"/>
    </xf>
    <xf numFmtId="1" fontId="2" fillId="0" borderId="39" xfId="0" applyNumberFormat="1" applyFont="1" applyBorder="1" applyAlignment="1">
      <alignment horizontal="right" vertical="center"/>
    </xf>
    <xf numFmtId="1" fontId="2" fillId="0" borderId="32" xfId="0" applyNumberFormat="1" applyFont="1" applyBorder="1" applyAlignment="1">
      <alignment horizontal="right" vertical="center"/>
    </xf>
    <xf numFmtId="1" fontId="2" fillId="0" borderId="37" xfId="0" applyNumberFormat="1" applyFont="1" applyBorder="1" applyAlignment="1">
      <alignment horizontal="right" vertical="center"/>
    </xf>
    <xf numFmtId="49" fontId="2" fillId="0" borderId="22" xfId="0" applyNumberFormat="1" applyFont="1" applyBorder="1" applyAlignment="1">
      <alignment horizontal="right" vertical="center"/>
    </xf>
    <xf numFmtId="49" fontId="4" fillId="0" borderId="47" xfId="0" applyNumberFormat="1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right" vertical="center"/>
    </xf>
    <xf numFmtId="49" fontId="4" fillId="10" borderId="0" xfId="0" applyNumberFormat="1" applyFont="1" applyFill="1" applyAlignment="1">
      <alignment horizontal="right" vertical="center"/>
    </xf>
    <xf numFmtId="49" fontId="4" fillId="10" borderId="30" xfId="0" applyNumberFormat="1" applyFont="1" applyFill="1" applyBorder="1" applyAlignment="1">
      <alignment horizontal="right" vertical="center"/>
    </xf>
    <xf numFmtId="49" fontId="4" fillId="9" borderId="0" xfId="0" applyNumberFormat="1" applyFont="1" applyFill="1" applyAlignment="1">
      <alignment horizontal="right" vertical="center"/>
    </xf>
    <xf numFmtId="49" fontId="4" fillId="9" borderId="30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78" xfId="0" applyFont="1" applyBorder="1" applyAlignment="1">
      <alignment horizontal="right" vertical="center"/>
    </xf>
    <xf numFmtId="1" fontId="4" fillId="0" borderId="27" xfId="0" applyNumberFormat="1" applyFont="1" applyBorder="1" applyAlignment="1">
      <alignment horizontal="right" vertical="center" wrapText="1"/>
    </xf>
    <xf numFmtId="1" fontId="23" fillId="0" borderId="78" xfId="0" applyNumberFormat="1" applyFont="1" applyBorder="1" applyAlignment="1">
      <alignment horizontal="right" vertical="center" wrapText="1"/>
    </xf>
    <xf numFmtId="1" fontId="23" fillId="0" borderId="46" xfId="0" applyNumberFormat="1" applyFont="1" applyBorder="1" applyAlignment="1">
      <alignment horizontal="right" vertical="center" wrapText="1"/>
    </xf>
    <xf numFmtId="1" fontId="4" fillId="0" borderId="78" xfId="0" applyNumberFormat="1" applyFont="1" applyBorder="1" applyAlignment="1">
      <alignment horizontal="right" vertical="center" wrapText="1"/>
    </xf>
    <xf numFmtId="1" fontId="4" fillId="0" borderId="46" xfId="0" applyNumberFormat="1" applyFont="1" applyBorder="1" applyAlignment="1">
      <alignment horizontal="right" vertical="center" wrapText="1"/>
    </xf>
    <xf numFmtId="1" fontId="2" fillId="0" borderId="39" xfId="0" applyNumberFormat="1" applyFont="1" applyBorder="1" applyAlignment="1">
      <alignment horizontal="right" vertical="center" wrapText="1"/>
    </xf>
    <xf numFmtId="1" fontId="2" fillId="0" borderId="32" xfId="0" applyNumberFormat="1" applyFont="1" applyBorder="1" applyAlignment="1">
      <alignment horizontal="right" vertical="center" wrapText="1"/>
    </xf>
    <xf numFmtId="41" fontId="3" fillId="0" borderId="27" xfId="3" applyNumberFormat="1" applyFont="1" applyBorder="1" applyAlignment="1" applyProtection="1">
      <alignment horizontal="right" vertical="center" wrapText="1"/>
    </xf>
    <xf numFmtId="41" fontId="3" fillId="0" borderId="24" xfId="3" applyNumberFormat="1" applyFont="1" applyBorder="1" applyAlignment="1" applyProtection="1">
      <alignment horizontal="right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1" fontId="3" fillId="0" borderId="25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10" fontId="22" fillId="0" borderId="21" xfId="0" applyNumberFormat="1" applyFont="1" applyBorder="1" applyAlignment="1">
      <alignment horizontal="right" vertical="center" wrapText="1"/>
    </xf>
    <xf numFmtId="1" fontId="4" fillId="0" borderId="86" xfId="0" applyNumberFormat="1" applyFont="1" applyBorder="1" applyAlignment="1">
      <alignment horizontal="right" vertical="center"/>
    </xf>
    <xf numFmtId="49" fontId="4" fillId="0" borderId="62" xfId="0" applyNumberFormat="1" applyFont="1" applyBorder="1" applyAlignment="1">
      <alignment horizontal="right" vertical="center"/>
    </xf>
    <xf numFmtId="49" fontId="4" fillId="0" borderId="87" xfId="0" applyNumberFormat="1" applyFont="1" applyBorder="1" applyAlignment="1">
      <alignment horizontal="right" vertical="center"/>
    </xf>
    <xf numFmtId="1" fontId="4" fillId="0" borderId="62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 wrapText="1"/>
    </xf>
    <xf numFmtId="3" fontId="12" fillId="0" borderId="25" xfId="0" applyNumberFormat="1" applyFont="1" applyBorder="1" applyAlignment="1">
      <alignment horizontal="right" vertical="center" wrapText="1"/>
    </xf>
    <xf numFmtId="3" fontId="16" fillId="0" borderId="50" xfId="0" applyNumberFormat="1" applyFont="1" applyBorder="1" applyAlignment="1">
      <alignment horizontal="right" vertical="center" indent="1"/>
    </xf>
    <xf numFmtId="3" fontId="16" fillId="0" borderId="88" xfId="0" applyNumberFormat="1" applyFont="1" applyBorder="1" applyAlignment="1">
      <alignment horizontal="right" vertical="center" indent="1"/>
    </xf>
    <xf numFmtId="49" fontId="4" fillId="0" borderId="89" xfId="0" applyNumberFormat="1" applyFont="1" applyBorder="1" applyAlignment="1">
      <alignment horizontal="right" vertical="center"/>
    </xf>
    <xf numFmtId="49" fontId="4" fillId="0" borderId="90" xfId="0" applyNumberFormat="1" applyFont="1" applyBorder="1" applyAlignment="1">
      <alignment horizontal="right" vertical="center"/>
    </xf>
    <xf numFmtId="49" fontId="4" fillId="0" borderId="91" xfId="0" applyNumberFormat="1" applyFont="1" applyBorder="1" applyAlignment="1">
      <alignment horizontal="right" vertical="center"/>
    </xf>
    <xf numFmtId="49" fontId="4" fillId="0" borderId="92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166" fontId="3" fillId="0" borderId="96" xfId="0" applyNumberFormat="1" applyFont="1" applyBorder="1" applyAlignment="1">
      <alignment horizontal="right" vertical="center"/>
    </xf>
    <xf numFmtId="166" fontId="3" fillId="0" borderId="95" xfId="0" applyNumberFormat="1" applyFont="1" applyBorder="1" applyAlignment="1">
      <alignment horizontal="right" vertical="center"/>
    </xf>
    <xf numFmtId="0" fontId="12" fillId="0" borderId="93" xfId="0" applyFont="1" applyBorder="1" applyAlignment="1">
      <alignment horizontal="right" vertical="center" wrapText="1"/>
    </xf>
    <xf numFmtId="0" fontId="11" fillId="0" borderId="93" xfId="0" applyFont="1" applyBorder="1" applyAlignment="1">
      <alignment horizontal="right" vertical="center" wrapText="1"/>
    </xf>
    <xf numFmtId="0" fontId="11" fillId="0" borderId="57" xfId="0" applyFont="1" applyBorder="1" applyAlignment="1">
      <alignment horizontal="right" vertical="center" wrapText="1"/>
    </xf>
    <xf numFmtId="164" fontId="16" fillId="0" borderId="26" xfId="0" applyNumberFormat="1" applyFont="1" applyBorder="1" applyAlignment="1">
      <alignment horizontal="right" vertical="center"/>
    </xf>
    <xf numFmtId="164" fontId="16" fillId="0" borderId="27" xfId="0" applyNumberFormat="1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right" vertical="center"/>
    </xf>
    <xf numFmtId="164" fontId="3" fillId="0" borderId="27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23" xfId="0" applyNumberFormat="1" applyFont="1" applyBorder="1" applyAlignment="1">
      <alignment horizontal="right" vertical="center"/>
    </xf>
    <xf numFmtId="164" fontId="3" fillId="0" borderId="24" xfId="0" applyNumberFormat="1" applyFont="1" applyBorder="1" applyAlignment="1">
      <alignment horizontal="right" vertical="center"/>
    </xf>
    <xf numFmtId="3" fontId="3" fillId="0" borderId="73" xfId="0" applyNumberFormat="1" applyFont="1" applyBorder="1" applyAlignment="1">
      <alignment horizontal="right" vertical="center" wrapText="1"/>
    </xf>
    <xf numFmtId="0" fontId="3" fillId="8" borderId="43" xfId="0" applyFont="1" applyFill="1" applyBorder="1" applyAlignment="1">
      <alignment horizontal="right" vertical="center"/>
    </xf>
    <xf numFmtId="164" fontId="2" fillId="11" borderId="39" xfId="0" applyNumberFormat="1" applyFont="1" applyFill="1" applyBorder="1" applyAlignment="1">
      <alignment horizontal="right" vertical="center"/>
    </xf>
    <xf numFmtId="164" fontId="3" fillId="0" borderId="27" xfId="0" applyNumberFormat="1" applyFont="1" applyBorder="1" applyAlignment="1">
      <alignment horizontal="right" vertical="center" wrapText="1"/>
    </xf>
    <xf numFmtId="164" fontId="3" fillId="0" borderId="28" xfId="0" applyNumberFormat="1" applyFont="1" applyBorder="1" applyAlignment="1">
      <alignment horizontal="right" vertical="center" wrapText="1"/>
    </xf>
    <xf numFmtId="164" fontId="2" fillId="11" borderId="32" xfId="0" applyNumberFormat="1" applyFont="1" applyFill="1" applyBorder="1" applyAlignment="1">
      <alignment horizontal="right" vertical="center"/>
    </xf>
    <xf numFmtId="164" fontId="2" fillId="11" borderId="37" xfId="0" applyNumberFormat="1" applyFont="1" applyFill="1" applyBorder="1" applyAlignment="1">
      <alignment horizontal="right" vertical="center"/>
    </xf>
    <xf numFmtId="164" fontId="3" fillId="0" borderId="24" xfId="0" applyNumberFormat="1" applyFont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/>
    </xf>
    <xf numFmtId="164" fontId="3" fillId="0" borderId="28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2" fillId="11" borderId="37" xfId="0" applyNumberFormat="1" applyFont="1" applyFill="1" applyBorder="1" applyAlignment="1">
      <alignment horizontal="right" vertical="center" wrapText="1"/>
    </xf>
    <xf numFmtId="164" fontId="2" fillId="11" borderId="40" xfId="0" applyNumberFormat="1" applyFont="1" applyFill="1" applyBorder="1" applyAlignment="1">
      <alignment horizontal="right" vertical="center" wrapText="1"/>
    </xf>
    <xf numFmtId="0" fontId="4" fillId="0" borderId="97" xfId="0" applyFont="1" applyBorder="1" applyAlignment="1">
      <alignment vertical="center"/>
    </xf>
    <xf numFmtId="164" fontId="2" fillId="11" borderId="98" xfId="0" applyNumberFormat="1" applyFont="1" applyFill="1" applyBorder="1" applyAlignment="1">
      <alignment horizontal="right" vertical="center" wrapText="1"/>
    </xf>
    <xf numFmtId="0" fontId="4" fillId="0" borderId="33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164" fontId="3" fillId="0" borderId="99" xfId="0" applyNumberFormat="1" applyFont="1" applyBorder="1" applyAlignment="1">
      <alignment horizontal="right" vertical="center" wrapText="1"/>
    </xf>
    <xf numFmtId="164" fontId="3" fillId="0" borderId="100" xfId="0" applyNumberFormat="1" applyFont="1" applyBorder="1" applyAlignment="1">
      <alignment horizontal="right" vertical="center" wrapText="1"/>
    </xf>
    <xf numFmtId="164" fontId="3" fillId="0" borderId="101" xfId="0" applyNumberFormat="1" applyFont="1" applyBorder="1" applyAlignment="1">
      <alignment horizontal="right" vertical="center" wrapText="1"/>
    </xf>
    <xf numFmtId="164" fontId="2" fillId="0" borderId="102" xfId="0" applyNumberFormat="1" applyFont="1" applyBorder="1" applyAlignment="1">
      <alignment horizontal="right" vertical="center" wrapText="1"/>
    </xf>
    <xf numFmtId="164" fontId="2" fillId="0" borderId="103" xfId="0" applyNumberFormat="1" applyFont="1" applyBorder="1" applyAlignment="1">
      <alignment horizontal="right" vertical="center" wrapText="1"/>
    </xf>
    <xf numFmtId="164" fontId="3" fillId="0" borderId="105" xfId="0" applyNumberFormat="1" applyFont="1" applyBorder="1" applyAlignment="1">
      <alignment horizontal="right" vertical="center" wrapText="1"/>
    </xf>
    <xf numFmtId="164" fontId="3" fillId="0" borderId="106" xfId="0" applyNumberFormat="1" applyFont="1" applyBorder="1" applyAlignment="1">
      <alignment horizontal="right" vertical="center" wrapText="1"/>
    </xf>
    <xf numFmtId="164" fontId="3" fillId="0" borderId="107" xfId="0" applyNumberFormat="1" applyFont="1" applyBorder="1" applyAlignment="1">
      <alignment horizontal="right" vertical="center" wrapText="1"/>
    </xf>
    <xf numFmtId="164" fontId="5" fillId="0" borderId="103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right" vertical="center"/>
    </xf>
    <xf numFmtId="166" fontId="3" fillId="0" borderId="108" xfId="0" applyNumberFormat="1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 wrapText="1"/>
    </xf>
    <xf numFmtId="0" fontId="3" fillId="0" borderId="93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17" fontId="4" fillId="0" borderId="0" xfId="0" applyNumberFormat="1" applyFont="1"/>
    <xf numFmtId="0" fontId="24" fillId="0" borderId="27" xfId="0" applyFont="1" applyBorder="1" applyAlignment="1">
      <alignment horizontal="right" vertical="center"/>
    </xf>
    <xf numFmtId="10" fontId="24" fillId="0" borderId="16" xfId="0" applyNumberFormat="1" applyFont="1" applyBorder="1" applyAlignment="1">
      <alignment horizontal="right" vertical="center" wrapText="1"/>
    </xf>
    <xf numFmtId="10" fontId="24" fillId="0" borderId="24" xfId="0" applyNumberFormat="1" applyFont="1" applyBorder="1" applyAlignment="1">
      <alignment horizontal="right" vertical="center" wrapText="1"/>
    </xf>
    <xf numFmtId="1" fontId="16" fillId="0" borderId="24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7" fontId="3" fillId="0" borderId="0" xfId="3" applyNumberFormat="1" applyFont="1" applyFill="1" applyAlignment="1">
      <alignment vertical="center"/>
    </xf>
    <xf numFmtId="10" fontId="11" fillId="0" borderId="19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vertical="center"/>
    </xf>
    <xf numFmtId="164" fontId="3" fillId="0" borderId="27" xfId="0" applyNumberFormat="1" applyFont="1" applyBorder="1" applyAlignment="1">
      <alignment vertical="center"/>
    </xf>
    <xf numFmtId="10" fontId="17" fillId="0" borderId="47" xfId="0" applyNumberFormat="1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3" fontId="3" fillId="0" borderId="57" xfId="0" applyNumberFormat="1" applyFont="1" applyBorder="1" applyAlignment="1">
      <alignment horizontal="right" vertical="center" wrapText="1"/>
    </xf>
    <xf numFmtId="3" fontId="3" fillId="0" borderId="93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3" fillId="0" borderId="94" xfId="0" applyNumberFormat="1" applyFont="1" applyBorder="1" applyAlignment="1">
      <alignment horizontal="right" vertical="center" wrapText="1"/>
    </xf>
    <xf numFmtId="164" fontId="2" fillId="0" borderId="104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vertical="center"/>
    </xf>
    <xf numFmtId="167" fontId="3" fillId="0" borderId="26" xfId="3" applyNumberFormat="1" applyFont="1" applyBorder="1" applyAlignment="1" applyProtection="1">
      <alignment horizontal="right" vertical="center"/>
    </xf>
    <xf numFmtId="167" fontId="3" fillId="0" borderId="15" xfId="3" applyNumberFormat="1" applyFont="1" applyBorder="1" applyAlignment="1" applyProtection="1">
      <alignment horizontal="right" vertical="center"/>
    </xf>
    <xf numFmtId="167" fontId="3" fillId="0" borderId="27" xfId="3" applyNumberFormat="1" applyFont="1" applyBorder="1" applyAlignment="1" applyProtection="1">
      <alignment horizontal="right" vertical="center"/>
    </xf>
    <xf numFmtId="167" fontId="3" fillId="0" borderId="16" xfId="3" applyNumberFormat="1" applyFont="1" applyBorder="1" applyAlignment="1" applyProtection="1">
      <alignment horizontal="right" vertical="center"/>
    </xf>
    <xf numFmtId="10" fontId="16" fillId="0" borderId="16" xfId="0" applyNumberFormat="1" applyFont="1" applyBorder="1" applyAlignment="1">
      <alignment horizontal="right" vertical="center" wrapText="1"/>
    </xf>
    <xf numFmtId="10" fontId="16" fillId="0" borderId="24" xfId="0" applyNumberFormat="1" applyFont="1" applyBorder="1" applyAlignment="1">
      <alignment horizontal="right" vertical="center" wrapText="1"/>
    </xf>
    <xf numFmtId="41" fontId="2" fillId="12" borderId="40" xfId="3" applyNumberFormat="1" applyFont="1" applyFill="1" applyBorder="1" applyAlignment="1" applyProtection="1">
      <alignment horizontal="right" vertical="center"/>
    </xf>
    <xf numFmtId="167" fontId="3" fillId="0" borderId="16" xfId="3" applyNumberFormat="1" applyFont="1" applyFill="1" applyBorder="1" applyAlignment="1">
      <alignment horizontal="right" vertical="center"/>
    </xf>
    <xf numFmtId="167" fontId="3" fillId="0" borderId="0" xfId="3" applyNumberFormat="1" applyFont="1" applyAlignment="1">
      <alignment horizontal="right" vertical="center"/>
    </xf>
    <xf numFmtId="6" fontId="3" fillId="0" borderId="0" xfId="2" applyNumberFormat="1" applyFont="1" applyAlignment="1">
      <alignment horizontal="right" vertical="center"/>
    </xf>
    <xf numFmtId="167" fontId="3" fillId="0" borderId="1" xfId="3" applyNumberFormat="1" applyFont="1" applyBorder="1" applyAlignment="1">
      <alignment vertical="center"/>
    </xf>
    <xf numFmtId="167" fontId="16" fillId="0" borderId="16" xfId="3" applyNumberFormat="1" applyFont="1" applyBorder="1" applyAlignment="1" applyProtection="1">
      <alignment horizontal="right" vertical="center"/>
    </xf>
    <xf numFmtId="167" fontId="16" fillId="0" borderId="24" xfId="3" applyNumberFormat="1" applyFont="1" applyBorder="1" applyAlignment="1" applyProtection="1">
      <alignment horizontal="right" vertical="center"/>
    </xf>
    <xf numFmtId="6" fontId="0" fillId="0" borderId="0" xfId="0" applyNumberFormat="1" applyAlignment="1">
      <alignment vertical="center"/>
    </xf>
    <xf numFmtId="167" fontId="16" fillId="0" borderId="27" xfId="3" applyNumberFormat="1" applyFont="1" applyFill="1" applyBorder="1" applyAlignment="1" applyProtection="1">
      <alignment horizontal="right" vertical="center"/>
    </xf>
    <xf numFmtId="167" fontId="16" fillId="0" borderId="27" xfId="3" applyNumberFormat="1" applyFont="1" applyBorder="1" applyAlignment="1" applyProtection="1">
      <alignment horizontal="right" vertical="center"/>
    </xf>
    <xf numFmtId="0" fontId="10" fillId="8" borderId="9" xfId="0" applyFont="1" applyFill="1" applyBorder="1" applyAlignment="1">
      <alignment horizontal="center" vertical="center" wrapText="1"/>
    </xf>
    <xf numFmtId="167" fontId="3" fillId="0" borderId="28" xfId="3" applyNumberFormat="1" applyFont="1" applyBorder="1" applyAlignment="1" applyProtection="1">
      <alignment horizontal="right" vertical="center"/>
    </xf>
    <xf numFmtId="167" fontId="16" fillId="0" borderId="28" xfId="3" applyNumberFormat="1" applyFont="1" applyBorder="1" applyAlignment="1" applyProtection="1">
      <alignment horizontal="right" vertical="center"/>
    </xf>
    <xf numFmtId="167" fontId="16" fillId="0" borderId="28" xfId="0" applyNumberFormat="1" applyFont="1" applyBorder="1" applyAlignment="1">
      <alignment horizontal="right" vertical="center"/>
    </xf>
    <xf numFmtId="10" fontId="17" fillId="0" borderId="21" xfId="0" applyNumberFormat="1" applyFont="1" applyBorder="1" applyAlignment="1">
      <alignment horizontal="right" vertical="center" wrapText="1"/>
    </xf>
    <xf numFmtId="167" fontId="16" fillId="0" borderId="17" xfId="3" applyNumberFormat="1" applyFont="1" applyBorder="1" applyAlignment="1" applyProtection="1">
      <alignment horizontal="right" vertical="center"/>
    </xf>
    <xf numFmtId="167" fontId="16" fillId="0" borderId="25" xfId="3" applyNumberFormat="1" applyFont="1" applyBorder="1" applyAlignment="1" applyProtection="1">
      <alignment horizontal="right" vertical="center"/>
    </xf>
    <xf numFmtId="0" fontId="25" fillId="7" borderId="1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right" vertical="center" wrapText="1"/>
    </xf>
    <xf numFmtId="0" fontId="27" fillId="8" borderId="40" xfId="0" applyFont="1" applyFill="1" applyBorder="1" applyAlignment="1">
      <alignment horizontal="right" vertical="center" wrapText="1"/>
    </xf>
    <xf numFmtId="0" fontId="26" fillId="0" borderId="57" xfId="0" applyFont="1" applyBorder="1" applyAlignment="1">
      <alignment horizontal="right" vertical="center" wrapText="1"/>
    </xf>
    <xf numFmtId="0" fontId="26" fillId="0" borderId="93" xfId="0" applyFont="1" applyBorder="1" applyAlignment="1">
      <alignment horizontal="right" vertical="center" wrapText="1"/>
    </xf>
    <xf numFmtId="0" fontId="26" fillId="0" borderId="44" xfId="0" applyFont="1" applyBorder="1" applyAlignment="1">
      <alignment horizontal="left" vertical="center"/>
    </xf>
    <xf numFmtId="3" fontId="27" fillId="7" borderId="39" xfId="0" applyNumberFormat="1" applyFont="1" applyFill="1" applyBorder="1" applyAlignment="1">
      <alignment horizontal="right" vertical="center"/>
    </xf>
    <xf numFmtId="0" fontId="26" fillId="0" borderId="26" xfId="0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41" xfId="0" applyFont="1" applyBorder="1" applyAlignment="1">
      <alignment horizontal="left" vertical="center"/>
    </xf>
    <xf numFmtId="3" fontId="27" fillId="7" borderId="37" xfId="0" applyNumberFormat="1" applyFont="1" applyFill="1" applyBorder="1" applyAlignment="1">
      <alignment horizontal="right" vertical="center"/>
    </xf>
    <xf numFmtId="0" fontId="26" fillId="0" borderId="8" xfId="0" applyFont="1" applyBorder="1" applyAlignment="1" applyProtection="1">
      <alignment vertical="center"/>
      <protection locked="0"/>
    </xf>
    <xf numFmtId="0" fontId="27" fillId="7" borderId="32" xfId="0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6" fillId="0" borderId="15" xfId="0" applyFont="1" applyBorder="1" applyAlignment="1">
      <alignment horizontal="right" vertical="center"/>
    </xf>
    <xf numFmtId="0" fontId="26" fillId="0" borderId="16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26" fillId="0" borderId="42" xfId="0" applyFont="1" applyBorder="1" applyAlignment="1">
      <alignment horizontal="left" vertical="center"/>
    </xf>
    <xf numFmtId="3" fontId="27" fillId="7" borderId="32" xfId="0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horizontal="right" vertical="center"/>
    </xf>
    <xf numFmtId="0" fontId="26" fillId="0" borderId="24" xfId="0" applyFont="1" applyBorder="1" applyAlignment="1">
      <alignment horizontal="right" vertical="center"/>
    </xf>
    <xf numFmtId="0" fontId="26" fillId="0" borderId="25" xfId="0" applyFont="1" applyBorder="1" applyAlignment="1">
      <alignment horizontal="right" vertical="center"/>
    </xf>
    <xf numFmtId="0" fontId="28" fillId="0" borderId="28" xfId="0" applyFont="1" applyBorder="1" applyAlignment="1">
      <alignment horizontal="right" vertical="center"/>
    </xf>
    <xf numFmtId="0" fontId="26" fillId="0" borderId="42" xfId="0" applyFont="1" applyBorder="1" applyAlignment="1">
      <alignment horizontal="left" vertical="center" wrapText="1"/>
    </xf>
    <xf numFmtId="0" fontId="27" fillId="7" borderId="39" xfId="0" applyFont="1" applyFill="1" applyBorder="1" applyAlignment="1">
      <alignment horizontal="right" vertical="center"/>
    </xf>
    <xf numFmtId="0" fontId="27" fillId="7" borderId="37" xfId="0" applyFont="1" applyFill="1" applyBorder="1" applyAlignment="1">
      <alignment horizontal="right" vertical="center"/>
    </xf>
    <xf numFmtId="0" fontId="26" fillId="0" borderId="27" xfId="0" applyFont="1" applyBorder="1" applyAlignment="1">
      <alignment horizontal="right"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24" xfId="0" applyFont="1" applyBorder="1" applyAlignment="1">
      <alignment horizontal="right" vertical="center" wrapText="1"/>
    </xf>
    <xf numFmtId="0" fontId="26" fillId="0" borderId="42" xfId="0" applyFont="1" applyBorder="1" applyAlignment="1">
      <alignment vertical="center"/>
    </xf>
    <xf numFmtId="0" fontId="26" fillId="0" borderId="41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3" fontId="26" fillId="0" borderId="26" xfId="0" applyNumberFormat="1" applyFont="1" applyBorder="1" applyAlignment="1">
      <alignment horizontal="right" vertical="center"/>
    </xf>
    <xf numFmtId="3" fontId="26" fillId="0" borderId="27" xfId="0" applyNumberFormat="1" applyFont="1" applyBorder="1" applyAlignment="1">
      <alignment horizontal="right" vertical="center"/>
    </xf>
    <xf numFmtId="3" fontId="26" fillId="0" borderId="17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horizontal="right" vertical="center"/>
    </xf>
    <xf numFmtId="3" fontId="26" fillId="0" borderId="16" xfId="0" applyNumberFormat="1" applyFont="1" applyBorder="1" applyAlignment="1">
      <alignment horizontal="right" vertical="center"/>
    </xf>
    <xf numFmtId="3" fontId="27" fillId="7" borderId="22" xfId="0" applyNumberFormat="1" applyFont="1" applyFill="1" applyBorder="1" applyAlignment="1">
      <alignment horizontal="right" vertical="center"/>
    </xf>
    <xf numFmtId="3" fontId="26" fillId="0" borderId="19" xfId="0" applyNumberFormat="1" applyFont="1" applyBorder="1" applyAlignment="1">
      <alignment horizontal="right" vertical="center"/>
    </xf>
    <xf numFmtId="164" fontId="27" fillId="11" borderId="39" xfId="0" applyNumberFormat="1" applyFont="1" applyFill="1" applyBorder="1" applyAlignment="1">
      <alignment horizontal="right" vertical="center"/>
    </xf>
    <xf numFmtId="164" fontId="26" fillId="0" borderId="26" xfId="0" applyNumberFormat="1" applyFont="1" applyBorder="1" applyAlignment="1">
      <alignment horizontal="right" vertical="center"/>
    </xf>
    <xf numFmtId="164" fontId="26" fillId="0" borderId="28" xfId="0" applyNumberFormat="1" applyFont="1" applyBorder="1" applyAlignment="1">
      <alignment horizontal="right" vertical="center" wrapText="1"/>
    </xf>
    <xf numFmtId="164" fontId="27" fillId="11" borderId="32" xfId="0" applyNumberFormat="1" applyFont="1" applyFill="1" applyBorder="1" applyAlignment="1">
      <alignment horizontal="right" vertical="center"/>
    </xf>
    <xf numFmtId="164" fontId="26" fillId="0" borderId="15" xfId="0" applyNumberFormat="1" applyFont="1" applyBorder="1" applyAlignment="1">
      <alignment horizontal="right" vertical="center"/>
    </xf>
    <xf numFmtId="164" fontId="27" fillId="11" borderId="37" xfId="0" applyNumberFormat="1" applyFont="1" applyFill="1" applyBorder="1" applyAlignment="1">
      <alignment horizontal="right" vertical="center"/>
    </xf>
    <xf numFmtId="164" fontId="26" fillId="0" borderId="23" xfId="0" applyNumberFormat="1" applyFont="1" applyBorder="1" applyAlignment="1">
      <alignment horizontal="right" vertical="center"/>
    </xf>
    <xf numFmtId="164" fontId="26" fillId="0" borderId="24" xfId="0" applyNumberFormat="1" applyFont="1" applyBorder="1" applyAlignment="1">
      <alignment horizontal="right" vertical="center"/>
    </xf>
    <xf numFmtId="164" fontId="26" fillId="0" borderId="25" xfId="0" applyNumberFormat="1" applyFont="1" applyBorder="1" applyAlignment="1">
      <alignment horizontal="right" vertical="center"/>
    </xf>
    <xf numFmtId="164" fontId="27" fillId="11" borderId="37" xfId="0" applyNumberFormat="1" applyFont="1" applyFill="1" applyBorder="1" applyAlignment="1">
      <alignment horizontal="right" vertical="center" wrapText="1"/>
    </xf>
    <xf numFmtId="164" fontId="26" fillId="0" borderId="100" xfId="0" applyNumberFormat="1" applyFont="1" applyBorder="1" applyAlignment="1">
      <alignment horizontal="right" vertical="center" wrapText="1"/>
    </xf>
    <xf numFmtId="164" fontId="27" fillId="11" borderId="98" xfId="0" applyNumberFormat="1" applyFont="1" applyFill="1" applyBorder="1" applyAlignment="1">
      <alignment horizontal="right" vertical="center" wrapText="1"/>
    </xf>
    <xf numFmtId="0" fontId="26" fillId="0" borderId="97" xfId="0" applyFont="1" applyBorder="1" applyAlignment="1">
      <alignment vertical="center"/>
    </xf>
    <xf numFmtId="164" fontId="27" fillId="11" borderId="40" xfId="0" applyNumberFormat="1" applyFont="1" applyFill="1" applyBorder="1" applyAlignment="1">
      <alignment horizontal="right" vertical="center" wrapText="1"/>
    </xf>
    <xf numFmtId="3" fontId="26" fillId="0" borderId="24" xfId="0" applyNumberFormat="1" applyFont="1" applyBorder="1" applyAlignment="1">
      <alignment horizontal="right" vertical="center" wrapText="1"/>
    </xf>
    <xf numFmtId="3" fontId="26" fillId="0" borderId="24" xfId="0" applyNumberFormat="1" applyFont="1" applyBorder="1" applyAlignment="1">
      <alignment horizontal="right" vertical="center"/>
    </xf>
    <xf numFmtId="0" fontId="26" fillId="0" borderId="77" xfId="0" applyFont="1" applyBorder="1" applyAlignment="1">
      <alignment horizontal="right" vertical="center" wrapText="1"/>
    </xf>
    <xf numFmtId="0" fontId="28" fillId="0" borderId="27" xfId="0" applyFont="1" applyBorder="1" applyAlignment="1">
      <alignment horizontal="right" vertical="center"/>
    </xf>
    <xf numFmtId="0" fontId="26" fillId="0" borderId="19" xfId="0" applyFont="1" applyBorder="1" applyAlignment="1">
      <alignment horizontal="right" vertical="center"/>
    </xf>
    <xf numFmtId="0" fontId="26" fillId="0" borderId="44" xfId="0" applyFont="1" applyBorder="1" applyAlignment="1">
      <alignment horizontal="left" vertical="center" wrapText="1"/>
    </xf>
    <xf numFmtId="3" fontId="26" fillId="0" borderId="57" xfId="0" applyNumberFormat="1" applyFont="1" applyBorder="1" applyAlignment="1">
      <alignment horizontal="right" vertical="center" wrapText="1"/>
    </xf>
    <xf numFmtId="3" fontId="26" fillId="0" borderId="93" xfId="0" applyNumberFormat="1" applyFont="1" applyBorder="1" applyAlignment="1">
      <alignment horizontal="right" vertical="center" wrapText="1"/>
    </xf>
    <xf numFmtId="3" fontId="28" fillId="0" borderId="27" xfId="0" applyNumberFormat="1" applyFont="1" applyBorder="1" applyAlignment="1">
      <alignment horizontal="right" vertical="center"/>
    </xf>
    <xf numFmtId="3" fontId="26" fillId="0" borderId="25" xfId="0" applyNumberFormat="1" applyFont="1" applyBorder="1" applyAlignment="1">
      <alignment horizontal="right" vertical="center" wrapText="1"/>
    </xf>
    <xf numFmtId="3" fontId="26" fillId="0" borderId="94" xfId="0" applyNumberFormat="1" applyFont="1" applyBorder="1" applyAlignment="1">
      <alignment horizontal="right" vertical="center" wrapText="1"/>
    </xf>
    <xf numFmtId="3" fontId="26" fillId="0" borderId="28" xfId="0" applyNumberFormat="1" applyFont="1" applyBorder="1" applyAlignment="1">
      <alignment horizontal="right" vertical="center"/>
    </xf>
    <xf numFmtId="3" fontId="26" fillId="0" borderId="23" xfId="0" applyNumberFormat="1" applyFont="1" applyBorder="1" applyAlignment="1">
      <alignment horizontal="right" vertical="center" wrapText="1"/>
    </xf>
    <xf numFmtId="3" fontId="26" fillId="0" borderId="25" xfId="0" applyNumberFormat="1" applyFont="1" applyBorder="1" applyAlignment="1">
      <alignment horizontal="right" vertical="center"/>
    </xf>
    <xf numFmtId="165" fontId="26" fillId="0" borderId="23" xfId="0" applyNumberFormat="1" applyFont="1" applyBorder="1" applyAlignment="1">
      <alignment horizontal="right" vertical="center" wrapText="1"/>
    </xf>
    <xf numFmtId="165" fontId="26" fillId="0" borderId="24" xfId="0" applyNumberFormat="1" applyFont="1" applyBorder="1" applyAlignment="1">
      <alignment horizontal="right" vertical="center" wrapText="1"/>
    </xf>
    <xf numFmtId="165" fontId="26" fillId="0" borderId="24" xfId="0" applyNumberFormat="1" applyFont="1" applyBorder="1" applyAlignment="1">
      <alignment horizontal="right" vertical="center"/>
    </xf>
    <xf numFmtId="165" fontId="26" fillId="0" borderId="25" xfId="0" applyNumberFormat="1" applyFont="1" applyBorder="1" applyAlignment="1">
      <alignment horizontal="right" vertical="center"/>
    </xf>
    <xf numFmtId="166" fontId="26" fillId="0" borderId="95" xfId="0" applyNumberFormat="1" applyFont="1" applyBorder="1" applyAlignment="1">
      <alignment horizontal="right" vertical="center"/>
    </xf>
    <xf numFmtId="166" fontId="28" fillId="0" borderId="16" xfId="0" applyNumberFormat="1" applyFont="1" applyBorder="1" applyAlignment="1">
      <alignment horizontal="right" vertical="center"/>
    </xf>
    <xf numFmtId="165" fontId="26" fillId="0" borderId="23" xfId="0" applyNumberFormat="1" applyFont="1" applyBorder="1" applyAlignment="1">
      <alignment horizontal="right" vertical="center"/>
    </xf>
    <xf numFmtId="165" fontId="28" fillId="0" borderId="24" xfId="0" applyNumberFormat="1" applyFont="1" applyBorder="1" applyAlignment="1">
      <alignment horizontal="right" vertical="center"/>
    </xf>
    <xf numFmtId="165" fontId="28" fillId="0" borderId="25" xfId="0" applyNumberFormat="1" applyFont="1" applyBorder="1" applyAlignment="1">
      <alignment horizontal="right" vertical="center"/>
    </xf>
    <xf numFmtId="0" fontId="26" fillId="0" borderId="42" xfId="0" applyFont="1" applyBorder="1" applyAlignment="1">
      <alignment vertical="center" wrapText="1"/>
    </xf>
    <xf numFmtId="10" fontId="26" fillId="0" borderId="16" xfId="0" applyNumberFormat="1" applyFont="1" applyBorder="1" applyAlignment="1">
      <alignment horizontal="right" vertical="center" wrapText="1"/>
    </xf>
    <xf numFmtId="10" fontId="26" fillId="0" borderId="17" xfId="0" applyNumberFormat="1" applyFont="1" applyBorder="1" applyAlignment="1">
      <alignment horizontal="right" vertical="center" wrapText="1"/>
    </xf>
    <xf numFmtId="10" fontId="26" fillId="0" borderId="24" xfId="0" applyNumberFormat="1" applyFont="1" applyBorder="1" applyAlignment="1">
      <alignment horizontal="right" vertical="center" wrapText="1"/>
    </xf>
    <xf numFmtId="10" fontId="26" fillId="0" borderId="25" xfId="0" applyNumberFormat="1" applyFont="1" applyBorder="1" applyAlignment="1">
      <alignment horizontal="right" vertical="center" wrapText="1"/>
    </xf>
    <xf numFmtId="1" fontId="26" fillId="0" borderId="25" xfId="0" applyNumberFormat="1" applyFont="1" applyBorder="1" applyAlignment="1">
      <alignment horizontal="right" vertical="center" wrapText="1"/>
    </xf>
    <xf numFmtId="0" fontId="26" fillId="0" borderId="48" xfId="0" applyFont="1" applyBorder="1" applyAlignment="1">
      <alignment vertical="center"/>
    </xf>
    <xf numFmtId="0" fontId="26" fillId="0" borderId="19" xfId="0" applyFont="1" applyBorder="1" applyAlignment="1">
      <alignment horizontal="right" vertical="center" wrapText="1"/>
    </xf>
    <xf numFmtId="3" fontId="26" fillId="0" borderId="20" xfId="0" applyNumberFormat="1" applyFont="1" applyBorder="1" applyAlignment="1">
      <alignment horizontal="right" vertical="center" wrapText="1"/>
    </xf>
    <xf numFmtId="3" fontId="26" fillId="0" borderId="21" xfId="0" applyNumberFormat="1" applyFont="1" applyBorder="1" applyAlignment="1">
      <alignment horizontal="right" vertical="center" wrapText="1"/>
    </xf>
    <xf numFmtId="164" fontId="27" fillId="7" borderId="39" xfId="0" applyNumberFormat="1" applyFont="1" applyFill="1" applyBorder="1" applyAlignment="1">
      <alignment horizontal="right" vertical="center"/>
    </xf>
    <xf numFmtId="164" fontId="27" fillId="7" borderId="32" xfId="0" applyNumberFormat="1" applyFont="1" applyFill="1" applyBorder="1" applyAlignment="1">
      <alignment horizontal="right" vertical="center"/>
    </xf>
    <xf numFmtId="164" fontId="27" fillId="7" borderId="37" xfId="0" applyNumberFormat="1" applyFont="1" applyFill="1" applyBorder="1" applyAlignment="1">
      <alignment horizontal="right" vertical="center"/>
    </xf>
    <xf numFmtId="0" fontId="28" fillId="0" borderId="17" xfId="0" applyFont="1" applyBorder="1" applyAlignment="1">
      <alignment horizontal="right" vertical="center"/>
    </xf>
    <xf numFmtId="3" fontId="26" fillId="0" borderId="23" xfId="0" applyNumberFormat="1" applyFont="1" applyBorder="1" applyAlignment="1">
      <alignment horizontal="right" vertical="center"/>
    </xf>
    <xf numFmtId="10" fontId="28" fillId="0" borderId="76" xfId="0" applyNumberFormat="1" applyFont="1" applyBorder="1" applyAlignment="1">
      <alignment horizontal="right" vertical="center"/>
    </xf>
    <xf numFmtId="10" fontId="28" fillId="0" borderId="25" xfId="0" applyNumberFormat="1" applyFont="1" applyBorder="1" applyAlignment="1">
      <alignment horizontal="right" vertical="center"/>
    </xf>
    <xf numFmtId="165" fontId="27" fillId="7" borderId="39" xfId="0" applyNumberFormat="1" applyFont="1" applyFill="1" applyBorder="1" applyAlignment="1">
      <alignment horizontal="right" vertical="center"/>
    </xf>
    <xf numFmtId="165" fontId="26" fillId="0" borderId="27" xfId="0" applyNumberFormat="1" applyFont="1" applyBorder="1" applyAlignment="1">
      <alignment horizontal="right" vertical="center" wrapText="1"/>
    </xf>
    <xf numFmtId="165" fontId="26" fillId="0" borderId="27" xfId="0" applyNumberFormat="1" applyFont="1" applyBorder="1" applyAlignment="1">
      <alignment horizontal="right" vertical="center"/>
    </xf>
    <xf numFmtId="6" fontId="26" fillId="0" borderId="0" xfId="2" applyNumberFormat="1" applyFont="1" applyAlignment="1">
      <alignment horizontal="right" vertical="center"/>
    </xf>
    <xf numFmtId="6" fontId="26" fillId="0" borderId="0" xfId="0" applyNumberFormat="1" applyFont="1" applyAlignment="1">
      <alignment vertical="center"/>
    </xf>
    <xf numFmtId="165" fontId="26" fillId="0" borderId="28" xfId="0" applyNumberFormat="1" applyFont="1" applyBorder="1" applyAlignment="1">
      <alignment horizontal="right" vertical="center"/>
    </xf>
    <xf numFmtId="0" fontId="27" fillId="6" borderId="12" xfId="0" applyFont="1" applyFill="1" applyBorder="1" applyAlignment="1">
      <alignment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49" fontId="26" fillId="8" borderId="54" xfId="0" applyNumberFormat="1" applyFont="1" applyFill="1" applyBorder="1" applyAlignment="1">
      <alignment horizontal="center" vertical="center"/>
    </xf>
    <xf numFmtId="49" fontId="26" fillId="0" borderId="89" xfId="0" applyNumberFormat="1" applyFont="1" applyBorder="1" applyAlignment="1">
      <alignment horizontal="right" vertical="center"/>
    </xf>
    <xf numFmtId="1" fontId="27" fillId="0" borderId="39" xfId="0" applyNumberFormat="1" applyFont="1" applyBorder="1" applyAlignment="1">
      <alignment horizontal="right" vertical="center"/>
    </xf>
    <xf numFmtId="1" fontId="26" fillId="0" borderId="27" xfId="0" applyNumberFormat="1" applyFont="1" applyBorder="1" applyAlignment="1">
      <alignment horizontal="right" vertical="center"/>
    </xf>
    <xf numFmtId="1" fontId="26" fillId="0" borderId="28" xfId="0" applyNumberFormat="1" applyFont="1" applyBorder="1" applyAlignment="1">
      <alignment horizontal="right" vertical="center"/>
    </xf>
    <xf numFmtId="49" fontId="26" fillId="0" borderId="90" xfId="0" applyNumberFormat="1" applyFont="1" applyBorder="1" applyAlignment="1">
      <alignment horizontal="right" vertical="center"/>
    </xf>
    <xf numFmtId="1" fontId="27" fillId="0" borderId="32" xfId="0" applyNumberFormat="1" applyFont="1" applyBorder="1" applyAlignment="1">
      <alignment horizontal="right" vertical="center"/>
    </xf>
    <xf numFmtId="1" fontId="26" fillId="0" borderId="46" xfId="0" applyNumberFormat="1" applyFont="1" applyBorder="1" applyAlignment="1">
      <alignment horizontal="right" vertical="center"/>
    </xf>
    <xf numFmtId="1" fontId="26" fillId="0" borderId="16" xfId="0" applyNumberFormat="1" applyFont="1" applyBorder="1" applyAlignment="1">
      <alignment horizontal="right" vertical="center"/>
    </xf>
    <xf numFmtId="1" fontId="26" fillId="0" borderId="17" xfId="0" applyNumberFormat="1" applyFont="1" applyBorder="1" applyAlignment="1">
      <alignment horizontal="right" vertical="center"/>
    </xf>
    <xf numFmtId="49" fontId="26" fillId="0" borderId="91" xfId="0" applyNumberFormat="1" applyFont="1" applyBorder="1" applyAlignment="1">
      <alignment horizontal="right" vertical="center"/>
    </xf>
    <xf numFmtId="49" fontId="27" fillId="0" borderId="37" xfId="0" applyNumberFormat="1" applyFont="1" applyBorder="1" applyAlignment="1">
      <alignment horizontal="right" vertical="center"/>
    </xf>
    <xf numFmtId="49" fontId="26" fillId="0" borderId="76" xfId="0" applyNumberFormat="1" applyFont="1" applyBorder="1" applyAlignment="1">
      <alignment horizontal="right" vertical="center"/>
    </xf>
    <xf numFmtId="49" fontId="26" fillId="0" borderId="25" xfId="0" applyNumberFormat="1" applyFont="1" applyBorder="1" applyAlignment="1">
      <alignment horizontal="right" vertical="center"/>
    </xf>
    <xf numFmtId="49" fontId="26" fillId="10" borderId="0" xfId="0" applyNumberFormat="1" applyFont="1" applyFill="1" applyAlignment="1">
      <alignment horizontal="center" vertical="center"/>
    </xf>
    <xf numFmtId="49" fontId="26" fillId="10" borderId="0" xfId="0" applyNumberFormat="1" applyFont="1" applyFill="1" applyAlignment="1">
      <alignment horizontal="right" vertical="center"/>
    </xf>
    <xf numFmtId="49" fontId="26" fillId="10" borderId="30" xfId="0" applyNumberFormat="1" applyFont="1" applyFill="1" applyBorder="1" applyAlignment="1">
      <alignment horizontal="right" vertical="center"/>
    </xf>
    <xf numFmtId="1" fontId="27" fillId="0" borderId="39" xfId="0" applyNumberFormat="1" applyFont="1" applyBorder="1" applyAlignment="1">
      <alignment horizontal="right" vertical="center" wrapText="1"/>
    </xf>
    <xf numFmtId="1" fontId="26" fillId="0" borderId="78" xfId="0" applyNumberFormat="1" applyFont="1" applyBorder="1" applyAlignment="1">
      <alignment horizontal="right" vertical="center" wrapText="1"/>
    </xf>
    <xf numFmtId="1" fontId="27" fillId="0" borderId="32" xfId="0" applyNumberFormat="1" applyFont="1" applyBorder="1" applyAlignment="1">
      <alignment horizontal="right" vertical="center" wrapText="1"/>
    </xf>
    <xf numFmtId="1" fontId="26" fillId="0" borderId="46" xfId="0" applyNumberFormat="1" applyFont="1" applyBorder="1" applyAlignment="1">
      <alignment horizontal="right" vertical="center" wrapText="1"/>
    </xf>
    <xf numFmtId="49" fontId="26" fillId="0" borderId="24" xfId="0" applyNumberFormat="1" applyFont="1" applyBorder="1" applyAlignment="1">
      <alignment horizontal="right" vertical="center"/>
    </xf>
    <xf numFmtId="0" fontId="26" fillId="0" borderId="78" xfId="0" applyFont="1" applyBorder="1" applyAlignment="1">
      <alignment horizontal="right" vertical="center"/>
    </xf>
    <xf numFmtId="0" fontId="26" fillId="0" borderId="46" xfId="0" applyFont="1" applyBorder="1" applyAlignment="1">
      <alignment horizontal="right" vertical="center"/>
    </xf>
    <xf numFmtId="1" fontId="26" fillId="0" borderId="86" xfId="0" applyNumberFormat="1" applyFont="1" applyBorder="1" applyAlignment="1">
      <alignment horizontal="right" vertical="center"/>
    </xf>
    <xf numFmtId="49" fontId="26" fillId="0" borderId="62" xfId="0" applyNumberFormat="1" applyFont="1" applyBorder="1" applyAlignment="1">
      <alignment horizontal="right" vertical="center"/>
    </xf>
    <xf numFmtId="49" fontId="26" fillId="9" borderId="0" xfId="0" applyNumberFormat="1" applyFont="1" applyFill="1" applyAlignment="1">
      <alignment horizontal="center" vertical="center"/>
    </xf>
    <xf numFmtId="49" fontId="26" fillId="9" borderId="0" xfId="0" applyNumberFormat="1" applyFont="1" applyFill="1" applyAlignment="1">
      <alignment horizontal="right" vertical="center"/>
    </xf>
    <xf numFmtId="49" fontId="26" fillId="9" borderId="30" xfId="0" applyNumberFormat="1" applyFont="1" applyFill="1" applyBorder="1" applyAlignment="1">
      <alignment horizontal="right" vertical="center"/>
    </xf>
    <xf numFmtId="1" fontId="26" fillId="0" borderId="78" xfId="0" applyNumberFormat="1" applyFont="1" applyBorder="1" applyAlignment="1">
      <alignment horizontal="right" vertical="center"/>
    </xf>
    <xf numFmtId="49" fontId="26" fillId="8" borderId="65" xfId="0" applyNumberFormat="1" applyFont="1" applyFill="1" applyBorder="1" applyAlignment="1">
      <alignment horizontal="center" vertical="center"/>
    </xf>
    <xf numFmtId="49" fontId="26" fillId="0" borderId="92" xfId="0" applyNumberFormat="1" applyFont="1" applyBorder="1" applyAlignment="1">
      <alignment horizontal="right" vertical="center"/>
    </xf>
    <xf numFmtId="49" fontId="27" fillId="0" borderId="22" xfId="0" applyNumberFormat="1" applyFont="1" applyBorder="1" applyAlignment="1">
      <alignment horizontal="right" vertical="center"/>
    </xf>
    <xf numFmtId="49" fontId="26" fillId="0" borderId="47" xfId="0" applyNumberFormat="1" applyFont="1" applyBorder="1" applyAlignment="1">
      <alignment horizontal="right" vertical="center"/>
    </xf>
    <xf numFmtId="49" fontId="26" fillId="0" borderId="87" xfId="0" applyNumberFormat="1" applyFont="1" applyBorder="1" applyAlignment="1">
      <alignment horizontal="right" vertical="center"/>
    </xf>
    <xf numFmtId="49" fontId="26" fillId="9" borderId="30" xfId="0" applyNumberFormat="1" applyFont="1" applyFill="1" applyBorder="1" applyAlignment="1">
      <alignment horizontal="center" vertical="center"/>
    </xf>
    <xf numFmtId="49" fontId="26" fillId="10" borderId="30" xfId="0" applyNumberFormat="1" applyFont="1" applyFill="1" applyBorder="1" applyAlignment="1">
      <alignment horizontal="center" vertical="center"/>
    </xf>
    <xf numFmtId="1" fontId="27" fillId="0" borderId="37" xfId="0" applyNumberFormat="1" applyFont="1" applyBorder="1" applyAlignment="1">
      <alignment horizontal="right" vertical="center"/>
    </xf>
    <xf numFmtId="1" fontId="26" fillId="0" borderId="76" xfId="0" applyNumberFormat="1" applyFont="1" applyBorder="1" applyAlignment="1">
      <alignment horizontal="right" vertical="center"/>
    </xf>
    <xf numFmtId="1" fontId="26" fillId="0" borderId="25" xfId="0" applyNumberFormat="1" applyFont="1" applyBorder="1" applyAlignment="1">
      <alignment horizontal="right" vertical="center"/>
    </xf>
    <xf numFmtId="2" fontId="26" fillId="8" borderId="54" xfId="0" applyNumberFormat="1" applyFont="1" applyFill="1" applyBorder="1" applyAlignment="1">
      <alignment horizontal="center" vertical="center"/>
    </xf>
    <xf numFmtId="1" fontId="26" fillId="0" borderId="27" xfId="0" applyNumberFormat="1" applyFont="1" applyBorder="1" applyAlignment="1">
      <alignment horizontal="right" vertical="center" wrapText="1"/>
    </xf>
    <xf numFmtId="1" fontId="26" fillId="0" borderId="62" xfId="0" applyNumberFormat="1" applyFont="1" applyBorder="1" applyAlignment="1">
      <alignment horizontal="right" vertical="center"/>
    </xf>
    <xf numFmtId="49" fontId="27" fillId="10" borderId="0" xfId="0" applyNumberFormat="1" applyFont="1" applyFill="1" applyAlignment="1">
      <alignment horizontal="center" vertical="center"/>
    </xf>
    <xf numFmtId="49" fontId="26" fillId="0" borderId="20" xfId="0" applyNumberFormat="1" applyFont="1" applyBorder="1" applyAlignment="1">
      <alignment horizontal="right" vertical="center"/>
    </xf>
    <xf numFmtId="49" fontId="26" fillId="0" borderId="21" xfId="0" applyNumberFormat="1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9" fillId="0" borderId="8" xfId="0" applyFont="1" applyBorder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37" fontId="26" fillId="0" borderId="26" xfId="3" applyNumberFormat="1" applyFont="1" applyBorder="1" applyAlignment="1" applyProtection="1">
      <alignment horizontal="right" vertical="center"/>
    </xf>
    <xf numFmtId="37" fontId="26" fillId="0" borderId="109" xfId="3" applyNumberFormat="1" applyFont="1" applyBorder="1" applyAlignment="1" applyProtection="1">
      <alignment horizontal="right" vertical="center"/>
    </xf>
    <xf numFmtId="37" fontId="26" fillId="0" borderId="15" xfId="3" applyNumberFormat="1" applyFont="1" applyBorder="1" applyAlignment="1" applyProtection="1">
      <alignment horizontal="right" vertical="center"/>
    </xf>
    <xf numFmtId="37" fontId="26" fillId="0" borderId="110" xfId="3" applyNumberFormat="1" applyFont="1" applyBorder="1" applyAlignment="1" applyProtection="1">
      <alignment horizontal="right" vertical="center"/>
    </xf>
    <xf numFmtId="3" fontId="26" fillId="0" borderId="110" xfId="0" applyNumberFormat="1" applyFont="1" applyBorder="1" applyAlignment="1">
      <alignment horizontal="right" vertical="center"/>
    </xf>
    <xf numFmtId="3" fontId="26" fillId="0" borderId="111" xfId="0" applyNumberFormat="1" applyFont="1" applyBorder="1" applyAlignment="1">
      <alignment horizontal="right" vertical="center"/>
    </xf>
    <xf numFmtId="0" fontId="26" fillId="0" borderId="109" xfId="0" applyFont="1" applyBorder="1" applyAlignment="1">
      <alignment horizontal="right" vertical="center"/>
    </xf>
    <xf numFmtId="0" fontId="26" fillId="0" borderId="110" xfId="0" applyFont="1" applyBorder="1" applyAlignment="1">
      <alignment horizontal="right" vertical="center"/>
    </xf>
    <xf numFmtId="0" fontId="26" fillId="0" borderId="111" xfId="0" applyFont="1" applyBorder="1" applyAlignment="1">
      <alignment horizontal="right" vertical="center"/>
    </xf>
    <xf numFmtId="0" fontId="26" fillId="0" borderId="112" xfId="0" applyFont="1" applyBorder="1" applyAlignment="1">
      <alignment horizontal="right" vertical="center"/>
    </xf>
    <xf numFmtId="0" fontId="26" fillId="0" borderId="113" xfId="0" applyFont="1" applyBorder="1" applyAlignment="1">
      <alignment horizontal="right" vertical="center"/>
    </xf>
    <xf numFmtId="3" fontId="26" fillId="0" borderId="109" xfId="0" applyNumberFormat="1" applyFont="1" applyBorder="1" applyAlignment="1">
      <alignment horizontal="right" vertical="center"/>
    </xf>
    <xf numFmtId="164" fontId="27" fillId="11" borderId="32" xfId="0" applyNumberFormat="1" applyFont="1" applyFill="1" applyBorder="1" applyAlignment="1">
      <alignment horizontal="right" vertical="center" wrapText="1"/>
    </xf>
    <xf numFmtId="0" fontId="26" fillId="0" borderId="18" xfId="0" applyFont="1" applyBorder="1" applyAlignment="1">
      <alignment horizontal="right" vertical="center" wrapText="1"/>
    </xf>
    <xf numFmtId="0" fontId="26" fillId="0" borderId="18" xfId="0" applyFont="1" applyBorder="1" applyAlignment="1">
      <alignment horizontal="right" vertical="center"/>
    </xf>
    <xf numFmtId="0" fontId="26" fillId="0" borderId="77" xfId="0" applyFont="1" applyBorder="1" applyAlignment="1">
      <alignment horizontal="right" vertical="center"/>
    </xf>
    <xf numFmtId="0" fontId="26" fillId="0" borderId="114" xfId="0" applyFont="1" applyBorder="1" applyAlignment="1">
      <alignment horizontal="right" vertical="center"/>
    </xf>
    <xf numFmtId="164" fontId="26" fillId="0" borderId="103" xfId="0" applyNumberFormat="1" applyFont="1" applyBorder="1" applyAlignment="1">
      <alignment horizontal="right" vertical="center" wrapText="1"/>
    </xf>
    <xf numFmtId="164" fontId="26" fillId="0" borderId="115" xfId="0" applyNumberFormat="1" applyFont="1" applyBorder="1" applyAlignment="1">
      <alignment horizontal="right" vertical="center" wrapText="1"/>
    </xf>
    <xf numFmtId="164" fontId="26" fillId="0" borderId="116" xfId="0" applyNumberFormat="1" applyFont="1" applyBorder="1" applyAlignment="1">
      <alignment horizontal="right" vertical="center" wrapText="1"/>
    </xf>
    <xf numFmtId="164" fontId="26" fillId="0" borderId="77" xfId="0" applyNumberFormat="1" applyFont="1" applyBorder="1" applyAlignment="1">
      <alignment horizontal="right" vertical="center" wrapText="1"/>
    </xf>
    <xf numFmtId="3" fontId="26" fillId="0" borderId="26" xfId="0" applyNumberFormat="1" applyFont="1" applyBorder="1" applyAlignment="1">
      <alignment horizontal="right" vertical="center" wrapText="1"/>
    </xf>
    <xf numFmtId="3" fontId="26" fillId="0" borderId="27" xfId="0" applyNumberFormat="1" applyFont="1" applyBorder="1" applyAlignment="1">
      <alignment horizontal="right" vertical="center" wrapText="1"/>
    </xf>
    <xf numFmtId="3" fontId="26" fillId="0" borderId="28" xfId="0" applyNumberFormat="1" applyFont="1" applyBorder="1" applyAlignment="1">
      <alignment horizontal="right" vertical="center" wrapText="1"/>
    </xf>
    <xf numFmtId="164" fontId="26" fillId="0" borderId="18" xfId="0" applyNumberFormat="1" applyFont="1" applyBorder="1" applyAlignment="1">
      <alignment horizontal="right" vertical="center"/>
    </xf>
    <xf numFmtId="0" fontId="27" fillId="7" borderId="31" xfId="0" applyFont="1" applyFill="1" applyBorder="1" applyAlignment="1">
      <alignment horizontal="right" vertical="center"/>
    </xf>
    <xf numFmtId="3" fontId="26" fillId="0" borderId="114" xfId="0" applyNumberFormat="1" applyFont="1" applyBorder="1" applyAlignment="1">
      <alignment horizontal="right" vertical="center"/>
    </xf>
    <xf numFmtId="3" fontId="27" fillId="7" borderId="40" xfId="0" applyNumberFormat="1" applyFont="1" applyFill="1" applyBorder="1" applyAlignment="1">
      <alignment horizontal="right" vertical="center"/>
    </xf>
    <xf numFmtId="0" fontId="26" fillId="0" borderId="117" xfId="0" applyFont="1" applyBorder="1" applyAlignment="1">
      <alignment horizontal="right" vertical="center"/>
    </xf>
    <xf numFmtId="0" fontId="26" fillId="0" borderId="67" xfId="0" applyFont="1" applyBorder="1" applyAlignment="1">
      <alignment horizontal="right" vertical="center"/>
    </xf>
    <xf numFmtId="0" fontId="26" fillId="0" borderId="72" xfId="0" applyFont="1" applyBorder="1" applyAlignment="1">
      <alignment horizontal="right" vertical="center"/>
    </xf>
    <xf numFmtId="0" fontId="26" fillId="0" borderId="120" xfId="0" applyFont="1" applyBorder="1" applyAlignment="1">
      <alignment horizontal="right" vertical="center"/>
    </xf>
    <xf numFmtId="0" fontId="26" fillId="0" borderId="121" xfId="0" applyFont="1" applyBorder="1" applyAlignment="1">
      <alignment horizontal="right" vertical="center"/>
    </xf>
    <xf numFmtId="0" fontId="27" fillId="7" borderId="118" xfId="0" applyFont="1" applyFill="1" applyBorder="1" applyAlignment="1">
      <alignment horizontal="right" vertical="center"/>
    </xf>
    <xf numFmtId="0" fontId="2" fillId="13" borderId="40" xfId="0" applyFont="1" applyFill="1" applyBorder="1" applyAlignment="1">
      <alignment horizontal="right" vertical="center"/>
    </xf>
    <xf numFmtId="0" fontId="2" fillId="13" borderId="32" xfId="0" applyFont="1" applyFill="1" applyBorder="1" applyAlignment="1">
      <alignment horizontal="right" vertical="center"/>
    </xf>
    <xf numFmtId="3" fontId="1" fillId="8" borderId="40" xfId="0" applyNumberFormat="1" applyFont="1" applyFill="1" applyBorder="1" applyAlignment="1">
      <alignment horizontal="right" vertical="center"/>
    </xf>
    <xf numFmtId="167" fontId="1" fillId="8" borderId="40" xfId="0" applyNumberFormat="1" applyFont="1" applyFill="1" applyBorder="1" applyAlignment="1">
      <alignment horizontal="center" vertical="center"/>
    </xf>
    <xf numFmtId="3" fontId="2" fillId="13" borderId="40" xfId="0" applyNumberFormat="1" applyFont="1" applyFill="1" applyBorder="1" applyAlignment="1">
      <alignment horizontal="right" vertical="center"/>
    </xf>
    <xf numFmtId="3" fontId="2" fillId="8" borderId="7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6" fillId="0" borderId="119" xfId="0" applyFont="1" applyBorder="1" applyAlignment="1">
      <alignment horizontal="right" vertical="center"/>
    </xf>
    <xf numFmtId="0" fontId="27" fillId="8" borderId="43" xfId="0" applyFont="1" applyFill="1" applyBorder="1" applyAlignment="1">
      <alignment horizontal="right" vertical="center"/>
    </xf>
    <xf numFmtId="0" fontId="27" fillId="8" borderId="66" xfId="0" applyFont="1" applyFill="1" applyBorder="1" applyAlignment="1">
      <alignment horizontal="right" vertical="center"/>
    </xf>
    <xf numFmtId="165" fontId="26" fillId="0" borderId="72" xfId="0" applyNumberFormat="1" applyFont="1" applyBorder="1" applyAlignment="1">
      <alignment horizontal="right" vertical="center"/>
    </xf>
    <xf numFmtId="165" fontId="26" fillId="0" borderId="119" xfId="0" applyNumberFormat="1" applyFont="1" applyBorder="1" applyAlignment="1">
      <alignment horizontal="right" vertical="center"/>
    </xf>
    <xf numFmtId="165" fontId="26" fillId="0" borderId="15" xfId="0" applyNumberFormat="1" applyFont="1" applyBorder="1" applyAlignment="1">
      <alignment horizontal="right" vertical="center"/>
    </xf>
    <xf numFmtId="165" fontId="26" fillId="0" borderId="110" xfId="0" applyNumberFormat="1" applyFont="1" applyBorder="1" applyAlignment="1">
      <alignment horizontal="right" vertical="center"/>
    </xf>
    <xf numFmtId="165" fontId="26" fillId="0" borderId="19" xfId="0" applyNumberFormat="1" applyFont="1" applyBorder="1" applyAlignment="1">
      <alignment horizontal="right" vertical="center"/>
    </xf>
    <xf numFmtId="165" fontId="26" fillId="0" borderId="114" xfId="0" applyNumberFormat="1" applyFont="1" applyBorder="1" applyAlignment="1">
      <alignment horizontal="right" vertical="center"/>
    </xf>
    <xf numFmtId="3" fontId="26" fillId="0" borderId="72" xfId="0" applyNumberFormat="1" applyFont="1" applyBorder="1" applyAlignment="1">
      <alignment horizontal="right" vertical="center"/>
    </xf>
    <xf numFmtId="3" fontId="26" fillId="0" borderId="119" xfId="0" applyNumberFormat="1" applyFont="1" applyBorder="1" applyAlignment="1">
      <alignment horizontal="right" vertical="center"/>
    </xf>
    <xf numFmtId="10" fontId="26" fillId="0" borderId="19" xfId="1" applyNumberFormat="1" applyFont="1" applyBorder="1" applyAlignment="1" applyProtection="1">
      <alignment horizontal="right" vertical="center"/>
    </xf>
    <xf numFmtId="10" fontId="26" fillId="0" borderId="114" xfId="1" applyNumberFormat="1" applyFont="1" applyBorder="1" applyAlignment="1" applyProtection="1">
      <alignment horizontal="right" vertical="center"/>
    </xf>
    <xf numFmtId="3" fontId="26" fillId="0" borderId="120" xfId="0" applyNumberFormat="1" applyFont="1" applyBorder="1" applyAlignment="1">
      <alignment horizontal="right" vertical="center"/>
    </xf>
    <xf numFmtId="3" fontId="26" fillId="0" borderId="121" xfId="0" applyNumberFormat="1" applyFont="1" applyBorder="1" applyAlignment="1">
      <alignment horizontal="right" vertical="center"/>
    </xf>
    <xf numFmtId="0" fontId="27" fillId="8" borderId="54" xfId="0" applyFont="1" applyFill="1" applyBorder="1" applyAlignment="1">
      <alignment horizontal="right" vertical="center"/>
    </xf>
    <xf numFmtId="0" fontId="27" fillId="8" borderId="65" xfId="0" applyFont="1" applyFill="1" applyBorder="1" applyAlignment="1">
      <alignment horizontal="right" vertical="center"/>
    </xf>
    <xf numFmtId="0" fontId="27" fillId="8" borderId="9" xfId="0" applyFont="1" applyFill="1" applyBorder="1" applyAlignment="1">
      <alignment horizontal="right" vertical="center" wrapText="1"/>
    </xf>
    <xf numFmtId="41" fontId="27" fillId="7" borderId="31" xfId="3" applyNumberFormat="1" applyFont="1" applyFill="1" applyBorder="1" applyAlignment="1" applyProtection="1">
      <alignment horizontal="right" vertical="center"/>
    </xf>
    <xf numFmtId="41" fontId="27" fillId="7" borderId="22" xfId="3" applyNumberFormat="1" applyFont="1" applyFill="1" applyBorder="1" applyAlignment="1" applyProtection="1">
      <alignment horizontal="right" vertical="center"/>
    </xf>
    <xf numFmtId="0" fontId="31" fillId="13" borderId="68" xfId="0" applyFont="1" applyFill="1" applyBorder="1" applyAlignment="1">
      <alignment horizontal="right" vertical="center"/>
    </xf>
    <xf numFmtId="0" fontId="31" fillId="13" borderId="13" xfId="0" applyFont="1" applyFill="1" applyBorder="1" applyAlignment="1">
      <alignment vertical="center"/>
    </xf>
    <xf numFmtId="0" fontId="31" fillId="13" borderId="54" xfId="0" applyFont="1" applyFill="1" applyBorder="1" applyAlignment="1">
      <alignment horizontal="right" vertical="center"/>
    </xf>
    <xf numFmtId="0" fontId="31" fillId="8" borderId="43" xfId="0" applyFont="1" applyFill="1" applyBorder="1" applyAlignment="1">
      <alignment vertical="center" wrapText="1"/>
    </xf>
    <xf numFmtId="0" fontId="31" fillId="13" borderId="65" xfId="0" applyFont="1" applyFill="1" applyBorder="1" applyAlignment="1">
      <alignment horizontal="right" vertical="center"/>
    </xf>
    <xf numFmtId="0" fontId="31" fillId="13" borderId="71" xfId="0" applyFont="1" applyFill="1" applyBorder="1" applyAlignment="1">
      <alignment horizontal="right" vertical="center"/>
    </xf>
    <xf numFmtId="0" fontId="31" fillId="13" borderId="40" xfId="0" applyFont="1" applyFill="1" applyBorder="1" applyAlignment="1">
      <alignment horizontal="right" vertical="center"/>
    </xf>
    <xf numFmtId="0" fontId="31" fillId="8" borderId="54" xfId="0" applyFont="1" applyFill="1" applyBorder="1" applyAlignment="1">
      <alignment horizontal="right" vertical="center"/>
    </xf>
    <xf numFmtId="0" fontId="31" fillId="8" borderId="43" xfId="0" applyFont="1" applyFill="1" applyBorder="1" applyAlignment="1">
      <alignment horizontal="right" vertical="center"/>
    </xf>
    <xf numFmtId="0" fontId="31" fillId="8" borderId="68" xfId="0" applyFont="1" applyFill="1" applyBorder="1" applyAlignment="1">
      <alignment horizontal="right" vertical="center"/>
    </xf>
    <xf numFmtId="0" fontId="31" fillId="8" borderId="75" xfId="0" applyFont="1" applyFill="1" applyBorder="1" applyAlignment="1">
      <alignment horizontal="right" vertical="center"/>
    </xf>
    <xf numFmtId="0" fontId="31" fillId="12" borderId="71" xfId="0" applyFont="1" applyFill="1" applyBorder="1" applyAlignment="1">
      <alignment horizontal="right" vertical="center"/>
    </xf>
    <xf numFmtId="0" fontId="31" fillId="8" borderId="65" xfId="0" applyFont="1" applyFill="1" applyBorder="1" applyAlignment="1">
      <alignment horizontal="right" vertical="center"/>
    </xf>
    <xf numFmtId="0" fontId="31" fillId="12" borderId="9" xfId="0" applyFont="1" applyFill="1" applyBorder="1" applyAlignment="1">
      <alignment horizontal="right" vertical="center"/>
    </xf>
    <xf numFmtId="0" fontId="31" fillId="12" borderId="40" xfId="0" applyFont="1" applyFill="1" applyBorder="1" applyAlignment="1">
      <alignment horizontal="right" vertical="center"/>
    </xf>
    <xf numFmtId="0" fontId="31" fillId="8" borderId="66" xfId="0" applyFont="1" applyFill="1" applyBorder="1" applyAlignment="1">
      <alignment horizontal="right" vertical="center"/>
    </xf>
    <xf numFmtId="0" fontId="31" fillId="13" borderId="118" xfId="0" applyFont="1" applyFill="1" applyBorder="1" applyAlignment="1">
      <alignment horizontal="right" vertical="center"/>
    </xf>
    <xf numFmtId="0" fontId="31" fillId="8" borderId="54" xfId="0" applyFont="1" applyFill="1" applyBorder="1" applyAlignment="1">
      <alignment horizontal="right" vertical="center" wrapText="1"/>
    </xf>
    <xf numFmtId="0" fontId="31" fillId="8" borderId="43" xfId="0" applyFont="1" applyFill="1" applyBorder="1" applyAlignment="1">
      <alignment horizontal="right" vertical="center" wrapText="1"/>
    </xf>
    <xf numFmtId="3" fontId="31" fillId="8" borderId="54" xfId="0" applyNumberFormat="1" applyFont="1" applyFill="1" applyBorder="1" applyAlignment="1">
      <alignment horizontal="right" vertical="center"/>
    </xf>
    <xf numFmtId="3" fontId="31" fillId="8" borderId="43" xfId="0" applyNumberFormat="1" applyFont="1" applyFill="1" applyBorder="1" applyAlignment="1">
      <alignment horizontal="right" vertical="center"/>
    </xf>
    <xf numFmtId="3" fontId="31" fillId="8" borderId="40" xfId="0" applyNumberFormat="1" applyFont="1" applyFill="1" applyBorder="1" applyAlignment="1">
      <alignment horizontal="right" vertical="center"/>
    </xf>
    <xf numFmtId="0" fontId="31" fillId="8" borderId="40" xfId="0" applyFont="1" applyFill="1" applyBorder="1" applyAlignment="1">
      <alignment horizontal="right" vertical="center"/>
    </xf>
    <xf numFmtId="0" fontId="31" fillId="8" borderId="0" xfId="0" applyFont="1" applyFill="1" applyAlignment="1">
      <alignment horizontal="right" vertical="center"/>
    </xf>
    <xf numFmtId="10" fontId="31" fillId="8" borderId="54" xfId="0" applyNumberFormat="1" applyFont="1" applyFill="1" applyBorder="1" applyAlignment="1">
      <alignment horizontal="right" vertical="center"/>
    </xf>
    <xf numFmtId="10" fontId="31" fillId="8" borderId="43" xfId="0" applyNumberFormat="1" applyFont="1" applyFill="1" applyBorder="1" applyAlignment="1">
      <alignment horizontal="right" vertical="center"/>
    </xf>
    <xf numFmtId="10" fontId="31" fillId="8" borderId="65" xfId="0" applyNumberFormat="1" applyFont="1" applyFill="1" applyBorder="1" applyAlignment="1">
      <alignment horizontal="right" vertical="center"/>
    </xf>
    <xf numFmtId="10" fontId="31" fillId="8" borderId="66" xfId="0" applyNumberFormat="1" applyFont="1" applyFill="1" applyBorder="1" applyAlignment="1">
      <alignment horizontal="right" vertical="center"/>
    </xf>
    <xf numFmtId="0" fontId="31" fillId="8" borderId="9" xfId="0" applyFont="1" applyFill="1" applyBorder="1" applyAlignment="1">
      <alignment horizontal="right" vertical="center"/>
    </xf>
    <xf numFmtId="0" fontId="26" fillId="0" borderId="8" xfId="0" applyFont="1" applyBorder="1" applyAlignment="1" applyProtection="1">
      <alignment horizontal="left" vertical="center"/>
      <protection locked="0"/>
    </xf>
    <xf numFmtId="3" fontId="28" fillId="0" borderId="85" xfId="0" applyNumberFormat="1" applyFont="1" applyBorder="1" applyAlignment="1">
      <alignment horizontal="right" vertical="center"/>
    </xf>
    <xf numFmtId="3" fontId="28" fillId="0" borderId="78" xfId="0" applyNumberFormat="1" applyFont="1" applyBorder="1" applyAlignment="1">
      <alignment horizontal="right" vertical="center"/>
    </xf>
    <xf numFmtId="3" fontId="28" fillId="0" borderId="28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6" fillId="0" borderId="10" xfId="0" applyFont="1" applyBorder="1" applyAlignment="1" applyProtection="1">
      <alignment vertical="center"/>
      <protection locked="0"/>
    </xf>
    <xf numFmtId="0" fontId="26" fillId="0" borderId="48" xfId="0" applyFont="1" applyBorder="1" applyAlignment="1">
      <alignment vertical="center" wrapText="1"/>
    </xf>
    <xf numFmtId="0" fontId="26" fillId="9" borderId="29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9" borderId="30" xfId="0" applyFont="1" applyFill="1" applyBorder="1" applyAlignment="1">
      <alignment vertical="center"/>
    </xf>
    <xf numFmtId="0" fontId="27" fillId="10" borderId="29" xfId="0" applyFont="1" applyFill="1" applyBorder="1" applyAlignment="1">
      <alignment vertical="center"/>
    </xf>
    <xf numFmtId="0" fontId="26" fillId="10" borderId="0" xfId="0" applyFont="1" applyFill="1" applyAlignment="1">
      <alignment vertical="center"/>
    </xf>
    <xf numFmtId="0" fontId="26" fillId="10" borderId="30" xfId="0" applyFont="1" applyFill="1" applyBorder="1" applyAlignment="1">
      <alignment vertical="center"/>
    </xf>
    <xf numFmtId="0" fontId="26" fillId="0" borderId="48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 wrapText="1" indent="1"/>
    </xf>
    <xf numFmtId="0" fontId="26" fillId="0" borderId="41" xfId="0" applyFont="1" applyBorder="1" applyAlignment="1">
      <alignment horizontal="left" vertical="center" indent="1"/>
    </xf>
    <xf numFmtId="0" fontId="26" fillId="0" borderId="42" xfId="0" applyFont="1" applyBorder="1" applyAlignment="1">
      <alignment horizontal="left" vertical="center" indent="1"/>
    </xf>
    <xf numFmtId="0" fontId="26" fillId="0" borderId="44" xfId="0" applyFont="1" applyBorder="1" applyAlignment="1">
      <alignment horizontal="left" vertical="center" indent="1"/>
    </xf>
    <xf numFmtId="0" fontId="25" fillId="0" borderId="11" xfId="0" applyFont="1" applyBorder="1" applyAlignment="1" applyProtection="1">
      <alignment vertical="center"/>
      <protection locked="0"/>
    </xf>
    <xf numFmtId="0" fontId="25" fillId="0" borderId="3" xfId="0" applyFont="1" applyBorder="1" applyAlignment="1">
      <alignment vertical="center"/>
    </xf>
    <xf numFmtId="0" fontId="25" fillId="0" borderId="4" xfId="0" applyFont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8" xfId="0" applyFont="1" applyBorder="1" applyAlignment="1" applyProtection="1">
      <alignment vertical="center"/>
      <protection locked="0"/>
    </xf>
    <xf numFmtId="0" fontId="32" fillId="2" borderId="2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26" fillId="0" borderId="0" xfId="0" applyFont="1"/>
    <xf numFmtId="17" fontId="26" fillId="0" borderId="0" xfId="0" applyNumberFormat="1" applyFont="1"/>
    <xf numFmtId="0" fontId="26" fillId="0" borderId="38" xfId="0" applyFont="1" applyBorder="1" applyAlignment="1">
      <alignment horizontal="left" vertical="center"/>
    </xf>
    <xf numFmtId="0" fontId="26" fillId="8" borderId="54" xfId="0" applyFont="1" applyFill="1" applyBorder="1" applyAlignment="1">
      <alignment horizontal="right" vertical="center" wrapText="1"/>
    </xf>
    <xf numFmtId="3" fontId="26" fillId="8" borderId="43" xfId="0" applyNumberFormat="1" applyFont="1" applyFill="1" applyBorder="1" applyAlignment="1">
      <alignment horizontal="right" vertical="center"/>
    </xf>
    <xf numFmtId="0" fontId="28" fillId="0" borderId="26" xfId="0" applyFont="1" applyBorder="1" applyAlignment="1">
      <alignment horizontal="right" vertical="center"/>
    </xf>
    <xf numFmtId="3" fontId="27" fillId="8" borderId="40" xfId="0" applyNumberFormat="1" applyFont="1" applyFill="1" applyBorder="1" applyAlignment="1">
      <alignment horizontal="right" vertical="center"/>
    </xf>
    <xf numFmtId="0" fontId="26" fillId="0" borderId="33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indent="1"/>
    </xf>
    <xf numFmtId="3" fontId="33" fillId="7" borderId="40" xfId="0" applyNumberFormat="1" applyFont="1" applyFill="1" applyBorder="1" applyAlignment="1">
      <alignment horizontal="right" vertical="center"/>
    </xf>
    <xf numFmtId="3" fontId="27" fillId="8" borderId="71" xfId="0" applyNumberFormat="1" applyFont="1" applyFill="1" applyBorder="1" applyAlignment="1">
      <alignment horizontal="right" vertical="center"/>
    </xf>
    <xf numFmtId="3" fontId="27" fillId="8" borderId="9" xfId="0" applyNumberFormat="1" applyFont="1" applyFill="1" applyBorder="1" applyAlignment="1">
      <alignment horizontal="right" vertical="center"/>
    </xf>
    <xf numFmtId="0" fontId="26" fillId="0" borderId="51" xfId="0" applyFont="1" applyBorder="1" applyAlignment="1">
      <alignment horizontal="right" vertical="center"/>
    </xf>
    <xf numFmtId="0" fontId="26" fillId="0" borderId="38" xfId="0" applyFont="1" applyBorder="1" applyAlignment="1">
      <alignment horizontal="right" vertical="center"/>
    </xf>
    <xf numFmtId="0" fontId="26" fillId="0" borderId="52" xfId="0" applyFont="1" applyBorder="1" applyAlignment="1">
      <alignment horizontal="right" vertical="center"/>
    </xf>
    <xf numFmtId="0" fontId="26" fillId="0" borderId="36" xfId="0" applyFont="1" applyBorder="1" applyAlignment="1">
      <alignment horizontal="right" vertical="center"/>
    </xf>
    <xf numFmtId="0" fontId="26" fillId="8" borderId="54" xfId="0" applyFont="1" applyFill="1" applyBorder="1" applyAlignment="1">
      <alignment horizontal="left" vertical="center"/>
    </xf>
    <xf numFmtId="0" fontId="26" fillId="8" borderId="43" xfId="0" applyFont="1" applyFill="1" applyBorder="1" applyAlignment="1">
      <alignment horizontal="left" vertical="center"/>
    </xf>
    <xf numFmtId="0" fontId="27" fillId="8" borderId="40" xfId="0" applyFont="1" applyFill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26" fillId="0" borderId="77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indent="5"/>
    </xf>
    <xf numFmtId="0" fontId="26" fillId="8" borderId="54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7" fillId="8" borderId="40" xfId="0" applyFont="1" applyFill="1" applyBorder="1" applyAlignment="1">
      <alignment horizontal="right" vertical="center"/>
    </xf>
    <xf numFmtId="0" fontId="28" fillId="0" borderId="16" xfId="0" applyFont="1" applyBorder="1" applyAlignment="1">
      <alignment horizontal="right" vertical="center"/>
    </xf>
    <xf numFmtId="0" fontId="26" fillId="0" borderId="41" xfId="0" applyFont="1" applyBorder="1" applyAlignment="1">
      <alignment horizontal="left" vertical="center" indent="5"/>
    </xf>
    <xf numFmtId="0" fontId="26" fillId="8" borderId="65" xfId="0" applyFont="1" applyFill="1" applyBorder="1" applyAlignment="1">
      <alignment horizontal="center" vertical="center"/>
    </xf>
    <xf numFmtId="0" fontId="26" fillId="8" borderId="79" xfId="0" applyFont="1" applyFill="1" applyBorder="1" applyAlignment="1">
      <alignment horizontal="center" vertical="center"/>
    </xf>
    <xf numFmtId="0" fontId="27" fillId="8" borderId="9" xfId="0" applyFont="1" applyFill="1" applyBorder="1" applyAlignment="1">
      <alignment horizontal="right" vertical="center"/>
    </xf>
    <xf numFmtId="0" fontId="28" fillId="0" borderId="24" xfId="0" applyFont="1" applyBorder="1" applyAlignment="1">
      <alignment horizontal="right" vertical="center"/>
    </xf>
    <xf numFmtId="0" fontId="26" fillId="0" borderId="80" xfId="0" applyFont="1" applyBorder="1" applyAlignment="1">
      <alignment horizontal="left" vertical="center"/>
    </xf>
    <xf numFmtId="0" fontId="27" fillId="7" borderId="40" xfId="0" applyFont="1" applyFill="1" applyBorder="1" applyAlignment="1">
      <alignment horizontal="right" vertical="center"/>
    </xf>
    <xf numFmtId="0" fontId="26" fillId="0" borderId="81" xfId="0" applyFont="1" applyBorder="1" applyAlignment="1">
      <alignment horizontal="left" vertical="center"/>
    </xf>
    <xf numFmtId="0" fontId="27" fillId="7" borderId="9" xfId="0" applyFont="1" applyFill="1" applyBorder="1" applyAlignment="1">
      <alignment horizontal="right" vertical="center"/>
    </xf>
    <xf numFmtId="0" fontId="26" fillId="0" borderId="47" xfId="0" applyFont="1" applyBorder="1" applyAlignment="1">
      <alignment horizontal="right" vertical="center"/>
    </xf>
    <xf numFmtId="0" fontId="26" fillId="0" borderId="20" xfId="0" applyFont="1" applyBorder="1" applyAlignment="1">
      <alignment horizontal="right" vertical="center"/>
    </xf>
    <xf numFmtId="0" fontId="28" fillId="0" borderId="20" xfId="0" applyFont="1" applyBorder="1" applyAlignment="1">
      <alignment horizontal="right" vertical="center"/>
    </xf>
    <xf numFmtId="0" fontId="26" fillId="0" borderId="21" xfId="0" applyFont="1" applyBorder="1" applyAlignment="1">
      <alignment horizontal="right" vertical="center" wrapText="1"/>
    </xf>
    <xf numFmtId="167" fontId="26" fillId="0" borderId="26" xfId="3" applyNumberFormat="1" applyFont="1" applyBorder="1" applyAlignment="1" applyProtection="1">
      <alignment horizontal="right" vertical="center"/>
    </xf>
    <xf numFmtId="0" fontId="35" fillId="0" borderId="2" xfId="0" applyFont="1" applyBorder="1" applyAlignment="1">
      <alignment horizontal="right" vertical="center"/>
    </xf>
    <xf numFmtId="3" fontId="0" fillId="0" borderId="0" xfId="0" applyNumberFormat="1" applyAlignment="1">
      <alignment vertical="center" wrapText="1"/>
    </xf>
    <xf numFmtId="166" fontId="26" fillId="0" borderId="108" xfId="0" applyNumberFormat="1" applyFont="1" applyBorder="1" applyAlignment="1">
      <alignment horizontal="right" vertical="center"/>
    </xf>
    <xf numFmtId="10" fontId="26" fillId="0" borderId="47" xfId="0" applyNumberFormat="1" applyFont="1" applyBorder="1" applyAlignment="1">
      <alignment horizontal="right" vertical="center" wrapText="1"/>
    </xf>
    <xf numFmtId="10" fontId="26" fillId="0" borderId="122" xfId="0" applyNumberFormat="1" applyFont="1" applyBorder="1" applyAlignment="1">
      <alignment horizontal="right" vertical="center" wrapText="1"/>
    </xf>
    <xf numFmtId="10" fontId="26" fillId="0" borderId="76" xfId="0" applyNumberFormat="1" applyFont="1" applyBorder="1" applyAlignment="1">
      <alignment horizontal="right" vertical="center"/>
    </xf>
    <xf numFmtId="10" fontId="26" fillId="0" borderId="19" xfId="0" applyNumberFormat="1" applyFont="1" applyBorder="1" applyAlignment="1">
      <alignment horizontal="right" vertical="center"/>
    </xf>
    <xf numFmtId="10" fontId="27" fillId="7" borderId="60" xfId="0" applyNumberFormat="1" applyFont="1" applyFill="1" applyBorder="1" applyAlignment="1">
      <alignment horizontal="right" vertical="center"/>
    </xf>
    <xf numFmtId="10" fontId="26" fillId="0" borderId="47" xfId="0" applyNumberFormat="1" applyFont="1" applyBorder="1" applyAlignment="1">
      <alignment horizontal="right" vertical="center"/>
    </xf>
    <xf numFmtId="167" fontId="26" fillId="0" borderId="27" xfId="3" applyNumberFormat="1" applyFont="1" applyBorder="1" applyAlignment="1" applyProtection="1">
      <alignment horizontal="right" vertical="center"/>
    </xf>
    <xf numFmtId="0" fontId="26" fillId="0" borderId="57" xfId="0" applyFont="1" applyBorder="1" applyAlignment="1">
      <alignment horizontal="right" vertical="center"/>
    </xf>
    <xf numFmtId="1" fontId="26" fillId="0" borderId="123" xfId="0" applyNumberFormat="1" applyFont="1" applyBorder="1" applyAlignment="1">
      <alignment horizontal="right" vertical="center"/>
    </xf>
    <xf numFmtId="164" fontId="26" fillId="0" borderId="0" xfId="2" applyNumberFormat="1" applyFont="1" applyAlignment="1">
      <alignment horizontal="right" vertical="center"/>
    </xf>
    <xf numFmtId="3" fontId="28" fillId="0" borderId="93" xfId="0" applyNumberFormat="1" applyFont="1" applyBorder="1" applyAlignment="1">
      <alignment horizontal="right" vertical="center" wrapText="1"/>
    </xf>
    <xf numFmtId="3" fontId="28" fillId="0" borderId="94" xfId="0" applyNumberFormat="1" applyFont="1" applyBorder="1" applyAlignment="1">
      <alignment horizontal="right" vertical="center" wrapText="1"/>
    </xf>
    <xf numFmtId="164" fontId="0" fillId="0" borderId="0" xfId="2" applyNumberFormat="1" applyFont="1" applyAlignment="1">
      <alignment vertical="center"/>
    </xf>
    <xf numFmtId="164" fontId="26" fillId="0" borderId="54" xfId="0" applyNumberFormat="1" applyFont="1" applyBorder="1" applyAlignment="1">
      <alignment horizontal="right" vertical="center"/>
    </xf>
    <xf numFmtId="164" fontId="26" fillId="0" borderId="70" xfId="0" applyNumberFormat="1" applyFont="1" applyBorder="1" applyAlignment="1">
      <alignment horizontal="right" vertical="center"/>
    </xf>
    <xf numFmtId="164" fontId="26" fillId="0" borderId="124" xfId="0" applyNumberFormat="1" applyFont="1" applyBorder="1" applyAlignment="1">
      <alignment horizontal="right" vertical="center"/>
    </xf>
    <xf numFmtId="0" fontId="26" fillId="0" borderId="96" xfId="0" applyFont="1" applyBorder="1" applyAlignment="1">
      <alignment horizontal="right" vertical="center"/>
    </xf>
    <xf numFmtId="0" fontId="26" fillId="0" borderId="125" xfId="0" applyFont="1" applyBorder="1" applyAlignment="1">
      <alignment horizontal="right" vertical="center"/>
    </xf>
    <xf numFmtId="0" fontId="26" fillId="0" borderId="103" xfId="0" applyFont="1" applyBorder="1" applyAlignment="1">
      <alignment horizontal="right" vertical="center"/>
    </xf>
    <xf numFmtId="0" fontId="26" fillId="0" borderId="123" xfId="0" applyFont="1" applyBorder="1" applyAlignment="1">
      <alignment horizontal="right" vertical="center"/>
    </xf>
    <xf numFmtId="0" fontId="26" fillId="0" borderId="126" xfId="0" applyFont="1" applyBorder="1" applyAlignment="1">
      <alignment horizontal="right" vertical="center"/>
    </xf>
    <xf numFmtId="0" fontId="28" fillId="0" borderId="78" xfId="0" applyFont="1" applyBorder="1" applyAlignment="1">
      <alignment horizontal="right" vertical="center"/>
    </xf>
    <xf numFmtId="0" fontId="26" fillId="0" borderId="100" xfId="0" applyFont="1" applyBorder="1" applyAlignment="1">
      <alignment horizontal="right" vertical="center"/>
    </xf>
    <xf numFmtId="0" fontId="26" fillId="0" borderId="127" xfId="0" applyFont="1" applyBorder="1" applyAlignment="1">
      <alignment horizontal="right" vertical="center"/>
    </xf>
    <xf numFmtId="166" fontId="26" fillId="0" borderId="84" xfId="0" applyNumberFormat="1" applyFont="1" applyBorder="1" applyAlignment="1">
      <alignment horizontal="right" vertical="center"/>
    </xf>
    <xf numFmtId="164" fontId="26" fillId="0" borderId="27" xfId="0" applyNumberFormat="1" applyFont="1" applyBorder="1" applyAlignment="1">
      <alignment horizontal="right" vertical="center"/>
    </xf>
    <xf numFmtId="164" fontId="36" fillId="0" borderId="128" xfId="0" applyNumberFormat="1" applyFont="1" applyBorder="1" applyAlignment="1" applyProtection="1">
      <alignment vertical="top"/>
      <protection locked="0"/>
    </xf>
    <xf numFmtId="164" fontId="36" fillId="0" borderId="128" xfId="0" applyNumberFormat="1" applyFont="1" applyBorder="1" applyAlignment="1">
      <alignment vertical="top"/>
    </xf>
    <xf numFmtId="3" fontId="28" fillId="0" borderId="16" xfId="0" applyNumberFormat="1" applyFont="1" applyBorder="1" applyAlignment="1">
      <alignment horizontal="right" vertical="center"/>
    </xf>
    <xf numFmtId="3" fontId="28" fillId="0" borderId="24" xfId="0" applyNumberFormat="1" applyFont="1" applyBorder="1" applyAlignment="1">
      <alignment horizontal="right" vertical="center"/>
    </xf>
    <xf numFmtId="164" fontId="28" fillId="0" borderId="100" xfId="0" applyNumberFormat="1" applyFont="1" applyBorder="1" applyAlignment="1">
      <alignment horizontal="right" vertical="center" wrapText="1"/>
    </xf>
    <xf numFmtId="164" fontId="28" fillId="0" borderId="103" xfId="0" applyNumberFormat="1" applyFont="1" applyBorder="1" applyAlignment="1">
      <alignment horizontal="right" vertical="center" wrapText="1"/>
    </xf>
    <xf numFmtId="164" fontId="28" fillId="0" borderId="116" xfId="0" applyNumberFormat="1" applyFont="1" applyBorder="1" applyAlignment="1">
      <alignment horizontal="right" vertical="center" wrapText="1"/>
    </xf>
    <xf numFmtId="0" fontId="28" fillId="0" borderId="24" xfId="0" applyFont="1" applyBorder="1" applyAlignment="1">
      <alignment horizontal="right" vertical="center" wrapText="1"/>
    </xf>
    <xf numFmtId="0" fontId="28" fillId="0" borderId="27" xfId="0" applyFont="1" applyBorder="1" applyAlignment="1">
      <alignment horizontal="right" vertical="center" wrapText="1"/>
    </xf>
    <xf numFmtId="0" fontId="28" fillId="0" borderId="18" xfId="0" applyFont="1" applyBorder="1" applyAlignment="1">
      <alignment horizontal="right" vertical="center" wrapText="1"/>
    </xf>
    <xf numFmtId="0" fontId="28" fillId="0" borderId="18" xfId="0" applyFont="1" applyBorder="1" applyAlignment="1">
      <alignment horizontal="right" vertical="center"/>
    </xf>
    <xf numFmtId="164" fontId="28" fillId="0" borderId="24" xfId="0" applyNumberFormat="1" applyFont="1" applyBorder="1" applyAlignment="1">
      <alignment horizontal="right" vertical="center"/>
    </xf>
    <xf numFmtId="164" fontId="26" fillId="0" borderId="0" xfId="0" applyNumberFormat="1" applyFont="1"/>
    <xf numFmtId="0" fontId="25" fillId="0" borderId="3" xfId="0" applyFont="1" applyBorder="1" applyAlignment="1">
      <alignment horizontal="center" vertical="center"/>
    </xf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1" fillId="7" borderId="79" xfId="0" applyFont="1" applyFill="1" applyBorder="1" applyAlignment="1">
      <alignment horizontal="center" vertical="center"/>
    </xf>
    <xf numFmtId="0" fontId="4" fillId="0" borderId="7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6" fillId="0" borderId="63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66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6" fillId="0" borderId="129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1" fontId="27" fillId="7" borderId="39" xfId="0" applyNumberFormat="1" applyFont="1" applyFill="1" applyBorder="1" applyAlignment="1">
      <alignment horizontal="right" vertical="center"/>
    </xf>
    <xf numFmtId="1" fontId="27" fillId="7" borderId="32" xfId="0" applyNumberFormat="1" applyFont="1" applyFill="1" applyBorder="1" applyAlignment="1">
      <alignment horizontal="right" vertical="center"/>
    </xf>
    <xf numFmtId="1" fontId="27" fillId="7" borderId="37" xfId="0" applyNumberFormat="1" applyFont="1" applyFill="1" applyBorder="1" applyAlignment="1">
      <alignment horizontal="right" vertical="center"/>
    </xf>
    <xf numFmtId="1" fontId="27" fillId="7" borderId="31" xfId="0" applyNumberFormat="1" applyFont="1" applyFill="1" applyBorder="1" applyAlignment="1">
      <alignment horizontal="right" vertical="center"/>
    </xf>
    <xf numFmtId="10" fontId="26" fillId="0" borderId="27" xfId="0" applyNumberFormat="1" applyFont="1" applyBorder="1" applyAlignment="1">
      <alignment horizontal="right" vertical="center" wrapText="1"/>
    </xf>
    <xf numFmtId="0" fontId="26" fillId="0" borderId="130" xfId="0" applyFont="1" applyBorder="1" applyAlignment="1">
      <alignment horizontal="right" vertical="center"/>
    </xf>
    <xf numFmtId="0" fontId="26" fillId="0" borderId="131" xfId="0" applyFont="1" applyBorder="1" applyAlignment="1">
      <alignment horizontal="right" vertical="center"/>
    </xf>
    <xf numFmtId="0" fontId="26" fillId="0" borderId="132" xfId="0" applyFont="1" applyBorder="1" applyAlignment="1">
      <alignment horizontal="right" vertical="center"/>
    </xf>
    <xf numFmtId="1" fontId="26" fillId="0" borderId="26" xfId="0" applyNumberFormat="1" applyFont="1" applyBorder="1" applyAlignment="1">
      <alignment horizontal="right" vertical="center"/>
    </xf>
    <xf numFmtId="1" fontId="28" fillId="0" borderId="27" xfId="0" applyNumberFormat="1" applyFont="1" applyBorder="1" applyAlignment="1">
      <alignment horizontal="right" vertical="center"/>
    </xf>
    <xf numFmtId="0" fontId="31" fillId="8" borderId="133" xfId="0" applyFont="1" applyFill="1" applyBorder="1" applyAlignment="1">
      <alignment horizontal="right" vertical="center"/>
    </xf>
    <xf numFmtId="165" fontId="26" fillId="0" borderId="76" xfId="0" applyNumberFormat="1" applyFont="1" applyBorder="1" applyAlignment="1">
      <alignment horizontal="right" vertical="center"/>
    </xf>
    <xf numFmtId="165" fontId="26" fillId="0" borderId="134" xfId="0" applyNumberFormat="1" applyFont="1" applyBorder="1" applyAlignment="1">
      <alignment horizontal="right" vertical="center"/>
    </xf>
    <xf numFmtId="0" fontId="26" fillId="0" borderId="41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63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108" xfId="0" applyFont="1" applyBorder="1" applyAlignment="1">
      <alignment horizontal="left" vertical="center"/>
    </xf>
    <xf numFmtId="0" fontId="26" fillId="0" borderId="108" xfId="0" applyFont="1" applyBorder="1" applyAlignment="1">
      <alignment horizontal="left" vertical="center" wrapText="1" indent="1"/>
    </xf>
    <xf numFmtId="0" fontId="26" fillId="0" borderId="61" xfId="0" applyFont="1" applyBorder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wrapText="1"/>
    </xf>
    <xf numFmtId="0" fontId="26" fillId="0" borderId="63" xfId="0" applyFont="1" applyBorder="1" applyAlignment="1">
      <alignment vertical="center"/>
    </xf>
    <xf numFmtId="0" fontId="26" fillId="0" borderId="108" xfId="0" applyFont="1" applyBorder="1" applyAlignment="1">
      <alignment horizontal="left" vertical="center" indent="1"/>
    </xf>
    <xf numFmtId="0" fontId="26" fillId="0" borderId="108" xfId="0" applyFont="1" applyBorder="1" applyAlignment="1">
      <alignment vertical="center"/>
    </xf>
    <xf numFmtId="0" fontId="26" fillId="0" borderId="6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indent="5"/>
    </xf>
    <xf numFmtId="0" fontId="26" fillId="0" borderId="79" xfId="0" applyFont="1" applyBorder="1" applyAlignment="1">
      <alignment horizontal="left" vertical="center"/>
    </xf>
    <xf numFmtId="0" fontId="26" fillId="0" borderId="129" xfId="0" applyFont="1" applyBorder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129" xfId="0" applyFont="1" applyBorder="1" applyAlignment="1">
      <alignment vertical="center"/>
    </xf>
    <xf numFmtId="0" fontId="26" fillId="0" borderId="63" xfId="0" applyFont="1" applyBorder="1" applyAlignment="1">
      <alignment horizontal="left" vertical="center" indent="1"/>
    </xf>
    <xf numFmtId="0" fontId="26" fillId="0" borderId="79" xfId="0" applyFont="1" applyBorder="1" applyAlignment="1">
      <alignment vertical="center" wrapText="1"/>
    </xf>
    <xf numFmtId="0" fontId="27" fillId="10" borderId="0" xfId="0" applyFont="1" applyFill="1" applyAlignment="1">
      <alignment vertical="center"/>
    </xf>
    <xf numFmtId="3" fontId="26" fillId="0" borderId="0" xfId="0" applyNumberFormat="1" applyFont="1" applyAlignment="1">
      <alignment horizontal="center" vertical="center"/>
    </xf>
    <xf numFmtId="0" fontId="28" fillId="0" borderId="93" xfId="0" applyFont="1" applyBorder="1" applyAlignment="1">
      <alignment horizontal="right" vertical="center" wrapText="1"/>
    </xf>
    <xf numFmtId="164" fontId="26" fillId="0" borderId="0" xfId="0" applyNumberFormat="1" applyFont="1" applyAlignment="1">
      <alignment horizontal="right" vertical="center"/>
    </xf>
    <xf numFmtId="164" fontId="26" fillId="0" borderId="125" xfId="0" applyNumberFormat="1" applyFont="1" applyBorder="1" applyAlignment="1">
      <alignment horizontal="right" vertical="center" wrapText="1"/>
    </xf>
    <xf numFmtId="164" fontId="28" fillId="0" borderId="125" xfId="0" applyNumberFormat="1" applyFont="1" applyBorder="1" applyAlignment="1">
      <alignment horizontal="right" vertical="center" wrapText="1"/>
    </xf>
    <xf numFmtId="0" fontId="37" fillId="0" borderId="93" xfId="0" applyFont="1" applyBorder="1" applyAlignment="1">
      <alignment horizontal="right" vertical="center" wrapText="1"/>
    </xf>
    <xf numFmtId="0" fontId="38" fillId="0" borderId="93" xfId="0" applyFont="1" applyBorder="1" applyAlignment="1">
      <alignment horizontal="right" vertical="center" wrapText="1"/>
    </xf>
    <xf numFmtId="10" fontId="38" fillId="0" borderId="16" xfId="0" applyNumberFormat="1" applyFont="1" applyBorder="1" applyAlignment="1">
      <alignment horizontal="right" vertical="center" wrapText="1"/>
    </xf>
    <xf numFmtId="10" fontId="38" fillId="0" borderId="24" xfId="0" applyNumberFormat="1" applyFont="1" applyBorder="1" applyAlignment="1">
      <alignment horizontal="right" vertical="center" wrapText="1"/>
    </xf>
    <xf numFmtId="0" fontId="31" fillId="0" borderId="54" xfId="0" applyFont="1" applyBorder="1" applyAlignment="1">
      <alignment horizontal="right" vertical="center" wrapText="1"/>
    </xf>
    <xf numFmtId="0" fontId="31" fillId="0" borderId="43" xfId="0" applyFont="1" applyBorder="1" applyAlignment="1">
      <alignment horizontal="right" vertical="center" wrapText="1"/>
    </xf>
    <xf numFmtId="41" fontId="27" fillId="0" borderId="31" xfId="3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 wrapText="1"/>
    </xf>
    <xf numFmtId="164" fontId="33" fillId="7" borderId="54" xfId="0" applyNumberFormat="1" applyFont="1" applyFill="1" applyBorder="1" applyAlignment="1">
      <alignment horizontal="right" vertical="center"/>
    </xf>
    <xf numFmtId="1" fontId="26" fillId="0" borderId="121" xfId="0" applyNumberFormat="1" applyFont="1" applyBorder="1" applyAlignment="1">
      <alignment horizontal="right" vertical="center"/>
    </xf>
    <xf numFmtId="1" fontId="26" fillId="0" borderId="119" xfId="0" applyNumberFormat="1" applyFont="1" applyBorder="1" applyAlignment="1">
      <alignment horizontal="right" vertical="center"/>
    </xf>
    <xf numFmtId="1" fontId="26" fillId="0" borderId="120" xfId="0" applyNumberFormat="1" applyFont="1" applyBorder="1" applyAlignment="1">
      <alignment horizontal="right" vertical="center"/>
    </xf>
    <xf numFmtId="10" fontId="26" fillId="0" borderId="72" xfId="0" applyNumberFormat="1" applyFont="1" applyBorder="1" applyAlignment="1">
      <alignment horizontal="right" vertical="center"/>
    </xf>
    <xf numFmtId="10" fontId="26" fillId="0" borderId="119" xfId="0" applyNumberFormat="1" applyFont="1" applyBorder="1" applyAlignment="1">
      <alignment horizontal="right" vertical="center"/>
    </xf>
    <xf numFmtId="0" fontId="28" fillId="0" borderId="54" xfId="0" applyFont="1" applyBorder="1" applyAlignment="1">
      <alignment horizontal="right" vertical="center" wrapText="1"/>
    </xf>
    <xf numFmtId="0" fontId="28" fillId="0" borderId="43" xfId="0" applyFont="1" applyBorder="1" applyAlignment="1">
      <alignment horizontal="right" vertical="center" wrapText="1"/>
    </xf>
    <xf numFmtId="0" fontId="28" fillId="8" borderId="54" xfId="0" applyFont="1" applyFill="1" applyBorder="1" applyAlignment="1">
      <alignment horizontal="right" vertical="center" wrapText="1"/>
    </xf>
    <xf numFmtId="0" fontId="28" fillId="8" borderId="43" xfId="0" applyFont="1" applyFill="1" applyBorder="1" applyAlignment="1">
      <alignment horizontal="right" vertical="center" wrapText="1"/>
    </xf>
    <xf numFmtId="167" fontId="28" fillId="0" borderId="54" xfId="0" applyNumberFormat="1" applyFont="1" applyBorder="1" applyAlignment="1">
      <alignment horizontal="right" vertical="center" wrapText="1"/>
    </xf>
    <xf numFmtId="41" fontId="28" fillId="0" borderId="43" xfId="0" applyNumberFormat="1" applyFont="1" applyBorder="1" applyAlignment="1">
      <alignment horizontal="right" vertical="center" wrapText="1"/>
    </xf>
    <xf numFmtId="10" fontId="27" fillId="7" borderId="32" xfId="1" applyNumberFormat="1" applyFont="1" applyFill="1" applyBorder="1" applyAlignment="1" applyProtection="1">
      <alignment horizontal="right" vertical="center"/>
    </xf>
    <xf numFmtId="1" fontId="26" fillId="0" borderId="0" xfId="0" applyNumberFormat="1" applyFont="1" applyAlignment="1">
      <alignment horizontal="right" vertical="center"/>
    </xf>
    <xf numFmtId="3" fontId="28" fillId="0" borderId="17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vertical="center"/>
    </xf>
    <xf numFmtId="0" fontId="39" fillId="0" borderId="27" xfId="0" applyFont="1" applyBorder="1" applyAlignment="1">
      <alignment horizontal="right" vertical="center"/>
    </xf>
    <xf numFmtId="3" fontId="40" fillId="0" borderId="0" xfId="0" applyNumberFormat="1" applyFont="1"/>
    <xf numFmtId="168" fontId="26" fillId="0" borderId="27" xfId="0" applyNumberFormat="1" applyFont="1" applyBorder="1" applyAlignment="1">
      <alignment horizontal="right" vertical="center"/>
    </xf>
    <xf numFmtId="164" fontId="26" fillId="0" borderId="100" xfId="0" applyNumberFormat="1" applyFont="1" applyBorder="1" applyAlignment="1">
      <alignment horizontal="center" vertical="center" wrapText="1"/>
    </xf>
    <xf numFmtId="10" fontId="26" fillId="0" borderId="0" xfId="1" applyNumberFormat="1" applyFont="1" applyAlignment="1">
      <alignment horizontal="right" vertical="center"/>
    </xf>
    <xf numFmtId="2" fontId="28" fillId="0" borderId="17" xfId="0" applyNumberFormat="1" applyFont="1" applyBorder="1" applyAlignment="1">
      <alignment horizontal="right" vertical="center"/>
    </xf>
    <xf numFmtId="164" fontId="26" fillId="0" borderId="135" xfId="0" applyNumberFormat="1" applyFont="1" applyBorder="1" applyAlignment="1">
      <alignment horizontal="right" vertical="center" wrapText="1"/>
    </xf>
    <xf numFmtId="164" fontId="26" fillId="0" borderId="64" xfId="0" applyNumberFormat="1" applyFont="1" applyBorder="1" applyAlignment="1">
      <alignment horizontal="right" vertical="center" wrapText="1"/>
    </xf>
    <xf numFmtId="164" fontId="26" fillId="0" borderId="123" xfId="0" applyNumberFormat="1" applyFont="1" applyBorder="1" applyAlignment="1">
      <alignment horizontal="right" vertical="center"/>
    </xf>
    <xf numFmtId="2" fontId="26" fillId="0" borderId="0" xfId="0" applyNumberFormat="1" applyFont="1" applyAlignment="1">
      <alignment vertical="center"/>
    </xf>
    <xf numFmtId="44" fontId="26" fillId="0" borderId="0" xfId="2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164" fontId="26" fillId="0" borderId="27" xfId="0" applyNumberFormat="1" applyFont="1" applyBorder="1" applyAlignment="1">
      <alignment horizontal="right" vertical="center" wrapText="1"/>
    </xf>
    <xf numFmtId="8" fontId="41" fillId="0" borderId="0" xfId="0" applyNumberFormat="1" applyFont="1"/>
    <xf numFmtId="0" fontId="42" fillId="0" borderId="2" xfId="0" applyFont="1" applyBorder="1" applyAlignment="1">
      <alignment horizontal="right" vertical="center"/>
    </xf>
    <xf numFmtId="0" fontId="28" fillId="0" borderId="2" xfId="0" applyFont="1" applyBorder="1" applyAlignment="1">
      <alignment horizontal="right" vertical="center"/>
    </xf>
    <xf numFmtId="164" fontId="26" fillId="0" borderId="121" xfId="0" applyNumberFormat="1" applyFont="1" applyBorder="1" applyAlignment="1">
      <alignment horizontal="right" vertical="center"/>
    </xf>
    <xf numFmtId="164" fontId="36" fillId="0" borderId="128" xfId="0" applyNumberFormat="1" applyFont="1" applyBorder="1" applyAlignment="1" applyProtection="1">
      <alignment horizontal="center" vertical="top"/>
      <protection locked="0"/>
    </xf>
    <xf numFmtId="0" fontId="11" fillId="0" borderId="136" xfId="0" applyFont="1" applyBorder="1" applyAlignment="1">
      <alignment horizontal="center" vertical="center"/>
    </xf>
    <xf numFmtId="164" fontId="28" fillId="0" borderId="137" xfId="0" applyNumberFormat="1" applyFont="1" applyBorder="1" applyAlignment="1">
      <alignment vertical="top"/>
    </xf>
    <xf numFmtId="3" fontId="35" fillId="0" borderId="2" xfId="0" applyNumberFormat="1" applyFont="1" applyBorder="1" applyAlignment="1">
      <alignment horizontal="right" vertical="center"/>
    </xf>
    <xf numFmtId="4" fontId="42" fillId="0" borderId="2" xfId="0" applyNumberFormat="1" applyFont="1" applyBorder="1" applyAlignment="1">
      <alignment horizontal="right" vertical="center"/>
    </xf>
    <xf numFmtId="4" fontId="35" fillId="0" borderId="2" xfId="0" applyNumberFormat="1" applyFont="1" applyBorder="1" applyAlignment="1">
      <alignment horizontal="right" vertical="center"/>
    </xf>
    <xf numFmtId="164" fontId="25" fillId="0" borderId="4" xfId="0" applyNumberFormat="1" applyFont="1" applyBorder="1" applyAlignment="1">
      <alignment horizontal="right" vertical="center"/>
    </xf>
    <xf numFmtId="164" fontId="32" fillId="2" borderId="2" xfId="0" applyNumberFormat="1" applyFont="1" applyFill="1" applyBorder="1" applyAlignment="1">
      <alignment horizontal="center" vertical="center"/>
    </xf>
    <xf numFmtId="164" fontId="26" fillId="0" borderId="16" xfId="0" applyNumberFormat="1" applyFont="1" applyBorder="1" applyAlignment="1">
      <alignment horizontal="right" vertical="center"/>
    </xf>
    <xf numFmtId="164" fontId="26" fillId="0" borderId="16" xfId="0" applyNumberFormat="1" applyFont="1" applyBorder="1" applyAlignment="1">
      <alignment horizontal="right" vertical="center" wrapText="1"/>
    </xf>
    <xf numFmtId="164" fontId="26" fillId="0" borderId="24" xfId="0" applyNumberFormat="1" applyFont="1" applyBorder="1" applyAlignment="1">
      <alignment horizontal="right" vertical="center" wrapText="1"/>
    </xf>
    <xf numFmtId="164" fontId="26" fillId="0" borderId="16" xfId="0" applyNumberFormat="1" applyFont="1" applyBorder="1" applyAlignment="1">
      <alignment horizontal="left" vertical="center"/>
    </xf>
    <xf numFmtId="164" fontId="26" fillId="0" borderId="24" xfId="0" applyNumberFormat="1" applyFont="1" applyBorder="1" applyAlignment="1">
      <alignment horizontal="left" vertical="center"/>
    </xf>
    <xf numFmtId="164" fontId="26" fillId="0" borderId="20" xfId="0" applyNumberFormat="1" applyFont="1" applyBorder="1" applyAlignment="1">
      <alignment horizontal="right" vertical="center"/>
    </xf>
    <xf numFmtId="164" fontId="26" fillId="0" borderId="93" xfId="0" applyNumberFormat="1" applyFont="1" applyBorder="1" applyAlignment="1">
      <alignment horizontal="right" vertical="center" wrapText="1"/>
    </xf>
    <xf numFmtId="164" fontId="26" fillId="0" borderId="94" xfId="0" applyNumberFormat="1" applyFont="1" applyBorder="1" applyAlignment="1">
      <alignment horizontal="right" vertical="center" wrapText="1"/>
    </xf>
    <xf numFmtId="164" fontId="26" fillId="0" borderId="134" xfId="0" applyNumberFormat="1" applyFont="1" applyBorder="1" applyAlignment="1">
      <alignment horizontal="right" vertical="center"/>
    </xf>
    <xf numFmtId="164" fontId="26" fillId="0" borderId="130" xfId="0" applyNumberFormat="1" applyFont="1" applyBorder="1" applyAlignment="1">
      <alignment horizontal="right" vertical="center"/>
    </xf>
    <xf numFmtId="164" fontId="26" fillId="0" borderId="57" xfId="0" applyNumberFormat="1" applyFont="1" applyBorder="1" applyAlignment="1">
      <alignment horizontal="right" vertical="center" wrapText="1"/>
    </xf>
    <xf numFmtId="164" fontId="27" fillId="6" borderId="13" xfId="0" applyNumberFormat="1" applyFont="1" applyFill="1" applyBorder="1" applyAlignment="1">
      <alignment vertical="center"/>
    </xf>
    <xf numFmtId="164" fontId="26" fillId="9" borderId="0" xfId="0" applyNumberFormat="1" applyFont="1" applyFill="1" applyAlignment="1">
      <alignment vertical="center"/>
    </xf>
    <xf numFmtId="164" fontId="26" fillId="10" borderId="0" xfId="0" applyNumberFormat="1" applyFont="1" applyFill="1" applyAlignment="1">
      <alignment vertical="center"/>
    </xf>
    <xf numFmtId="164" fontId="26" fillId="0" borderId="46" xfId="0" applyNumberFormat="1" applyFont="1" applyBorder="1" applyAlignment="1">
      <alignment horizontal="right" vertical="center"/>
    </xf>
    <xf numFmtId="164" fontId="26" fillId="0" borderId="76" xfId="0" applyNumberFormat="1" applyFont="1" applyBorder="1" applyAlignment="1">
      <alignment horizontal="right" vertical="center"/>
    </xf>
    <xf numFmtId="164" fontId="26" fillId="10" borderId="0" xfId="0" applyNumberFormat="1" applyFont="1" applyFill="1" applyAlignment="1">
      <alignment horizontal="right" vertical="center"/>
    </xf>
    <xf numFmtId="164" fontId="26" fillId="0" borderId="78" xfId="0" applyNumberFormat="1" applyFont="1" applyBorder="1" applyAlignment="1">
      <alignment horizontal="right" vertical="center" wrapText="1"/>
    </xf>
    <xf numFmtId="164" fontId="26" fillId="0" borderId="46" xfId="0" applyNumberFormat="1" applyFont="1" applyBorder="1" applyAlignment="1">
      <alignment horizontal="right" vertical="center" wrapText="1"/>
    </xf>
    <xf numFmtId="164" fontId="26" fillId="9" borderId="0" xfId="0" applyNumberFormat="1" applyFont="1" applyFill="1" applyAlignment="1">
      <alignment horizontal="right" vertical="center"/>
    </xf>
    <xf numFmtId="164" fontId="26" fillId="0" borderId="47" xfId="0" applyNumberFormat="1" applyFont="1" applyBorder="1" applyAlignment="1">
      <alignment horizontal="right" vertical="center"/>
    </xf>
    <xf numFmtId="164" fontId="26" fillId="9" borderId="0" xfId="0" applyNumberFormat="1" applyFont="1" applyFill="1" applyAlignment="1">
      <alignment horizontal="center" vertical="center"/>
    </xf>
    <xf numFmtId="164" fontId="26" fillId="10" borderId="0" xfId="0" applyNumberFormat="1" applyFont="1" applyFill="1" applyAlignment="1">
      <alignment horizontal="center" vertical="center"/>
    </xf>
    <xf numFmtId="2" fontId="26" fillId="0" borderId="27" xfId="0" applyNumberFormat="1" applyFont="1" applyBorder="1" applyAlignment="1">
      <alignment horizontal="right" vertical="center" wrapText="1"/>
    </xf>
    <xf numFmtId="9" fontId="26" fillId="0" borderId="84" xfId="1" applyFont="1" applyBorder="1" applyAlignment="1" applyProtection="1">
      <alignment horizontal="right" vertical="center"/>
    </xf>
    <xf numFmtId="2" fontId="26" fillId="0" borderId="20" xfId="0" applyNumberFormat="1" applyFont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35" fillId="0" borderId="59" xfId="0" applyFont="1" applyBorder="1" applyAlignment="1">
      <alignment horizontal="right" vertical="center"/>
    </xf>
    <xf numFmtId="0" fontId="27" fillId="7" borderId="0" xfId="0" applyFont="1" applyFill="1" applyAlignment="1">
      <alignment vertical="center"/>
    </xf>
    <xf numFmtId="0" fontId="43" fillId="0" borderId="0" xfId="0" applyFont="1" applyAlignment="1">
      <alignment wrapText="1"/>
    </xf>
    <xf numFmtId="4" fontId="0" fillId="0" borderId="0" xfId="0" applyNumberFormat="1"/>
    <xf numFmtId="0" fontId="11" fillId="0" borderId="136" xfId="0" applyFont="1" applyBorder="1" applyAlignment="1">
      <alignment horizontal="right" vertical="center"/>
    </xf>
    <xf numFmtId="164" fontId="28" fillId="0" borderId="128" xfId="0" applyNumberFormat="1" applyFont="1" applyBorder="1" applyAlignment="1" applyProtection="1">
      <alignment vertical="top"/>
      <protection locked="0"/>
    </xf>
    <xf numFmtId="4" fontId="26" fillId="0" borderId="27" xfId="0" applyNumberFormat="1" applyFont="1" applyBorder="1" applyAlignment="1">
      <alignment horizontal="right" vertical="center"/>
    </xf>
    <xf numFmtId="164" fontId="0" fillId="0" borderId="0" xfId="0" applyNumberFormat="1" applyProtection="1">
      <protection locked="0"/>
    </xf>
    <xf numFmtId="0" fontId="26" fillId="0" borderId="41" xfId="0" applyFont="1" applyBorder="1" applyAlignment="1">
      <alignment horizontal="left" vertical="center" wrapText="1" indent="1"/>
    </xf>
    <xf numFmtId="0" fontId="26" fillId="0" borderId="44" xfId="0" applyFont="1" applyBorder="1" applyAlignment="1">
      <alignment vertical="center" wrapText="1"/>
    </xf>
    <xf numFmtId="1" fontId="28" fillId="0" borderId="17" xfId="0" applyNumberFormat="1" applyFont="1" applyBorder="1" applyAlignment="1">
      <alignment horizontal="right" vertical="center"/>
    </xf>
    <xf numFmtId="3" fontId="27" fillId="0" borderId="39" xfId="0" applyNumberFormat="1" applyFont="1" applyBorder="1" applyAlignment="1">
      <alignment horizontal="right" vertical="center"/>
    </xf>
    <xf numFmtId="164" fontId="27" fillId="0" borderId="39" xfId="0" applyNumberFormat="1" applyFont="1" applyBorder="1" applyAlignment="1">
      <alignment horizontal="right" vertical="center"/>
    </xf>
    <xf numFmtId="1" fontId="27" fillId="0" borderId="31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7" fillId="7" borderId="0" xfId="0" applyFont="1" applyFill="1" applyAlignment="1">
      <alignment horizontal="right" vertical="center"/>
    </xf>
    <xf numFmtId="3" fontId="27" fillId="0" borderId="32" xfId="0" applyNumberFormat="1" applyFont="1" applyBorder="1" applyAlignment="1">
      <alignment horizontal="right" vertical="center"/>
    </xf>
    <xf numFmtId="3" fontId="27" fillId="0" borderId="22" xfId="0" applyNumberFormat="1" applyFont="1" applyBorder="1" applyAlignment="1">
      <alignment horizontal="right" vertical="center"/>
    </xf>
    <xf numFmtId="3" fontId="27" fillId="0" borderId="40" xfId="0" applyNumberFormat="1" applyFont="1" applyBorder="1" applyAlignment="1">
      <alignment horizontal="right" vertical="center"/>
    </xf>
    <xf numFmtId="164" fontId="27" fillId="0" borderId="32" xfId="0" applyNumberFormat="1" applyFont="1" applyBorder="1" applyAlignment="1">
      <alignment horizontal="right" vertical="center"/>
    </xf>
    <xf numFmtId="164" fontId="27" fillId="0" borderId="37" xfId="0" applyNumberFormat="1" applyFont="1" applyBorder="1" applyAlignment="1">
      <alignment horizontal="right" vertical="center"/>
    </xf>
    <xf numFmtId="10" fontId="27" fillId="0" borderId="32" xfId="1" applyNumberFormat="1" applyFont="1" applyFill="1" applyBorder="1" applyAlignment="1" applyProtection="1">
      <alignment horizontal="right" vertical="center"/>
    </xf>
    <xf numFmtId="0" fontId="27" fillId="0" borderId="39" xfId="0" applyFont="1" applyBorder="1" applyAlignment="1">
      <alignment horizontal="right" vertical="center"/>
    </xf>
    <xf numFmtId="0" fontId="27" fillId="0" borderId="32" xfId="0" applyFont="1" applyBorder="1" applyAlignment="1">
      <alignment horizontal="right" vertical="center"/>
    </xf>
    <xf numFmtId="0" fontId="27" fillId="0" borderId="37" xfId="0" applyFont="1" applyBorder="1" applyAlignment="1">
      <alignment horizontal="right" vertical="center"/>
    </xf>
    <xf numFmtId="3" fontId="27" fillId="7" borderId="0" xfId="0" applyNumberFormat="1" applyFont="1" applyFill="1" applyAlignment="1">
      <alignment horizontal="right" vertical="center"/>
    </xf>
    <xf numFmtId="169" fontId="44" fillId="14" borderId="138" xfId="0" applyNumberFormat="1" applyFont="1" applyFill="1" applyBorder="1" applyAlignment="1">
      <alignment horizontal="right" vertical="center"/>
    </xf>
    <xf numFmtId="10" fontId="26" fillId="0" borderId="9" xfId="1" applyNumberFormat="1" applyFont="1" applyBorder="1" applyAlignment="1">
      <alignment horizontal="right" vertical="center"/>
    </xf>
    <xf numFmtId="0" fontId="26" fillId="0" borderId="84" xfId="0" applyFont="1" applyBorder="1" applyAlignment="1">
      <alignment horizontal="right" vertical="center"/>
    </xf>
    <xf numFmtId="10" fontId="26" fillId="0" borderId="84" xfId="0" applyNumberFormat="1" applyFont="1" applyBorder="1" applyAlignment="1">
      <alignment horizontal="right" vertical="center"/>
    </xf>
    <xf numFmtId="1" fontId="26" fillId="0" borderId="20" xfId="0" applyNumberFormat="1" applyFont="1" applyBorder="1" applyAlignment="1">
      <alignment horizontal="right" vertical="center" wrapText="1"/>
    </xf>
    <xf numFmtId="3" fontId="26" fillId="0" borderId="0" xfId="0" applyNumberFormat="1" applyFont="1" applyAlignment="1">
      <alignment horizontal="right" vertical="center"/>
    </xf>
    <xf numFmtId="0" fontId="35" fillId="0" borderId="1" xfId="0" applyFont="1" applyBorder="1" applyAlignment="1">
      <alignment horizontal="right" vertical="center"/>
    </xf>
    <xf numFmtId="1" fontId="27" fillId="0" borderId="0" xfId="0" applyNumberFormat="1" applyFont="1" applyAlignment="1">
      <alignment horizontal="right" vertical="center"/>
    </xf>
    <xf numFmtId="8" fontId="26" fillId="0" borderId="0" xfId="0" applyNumberFormat="1" applyFont="1"/>
    <xf numFmtId="164" fontId="0" fillId="0" borderId="0" xfId="0" applyNumberFormat="1"/>
    <xf numFmtId="4" fontId="42" fillId="0" borderId="1" xfId="0" applyNumberFormat="1" applyFont="1" applyBorder="1" applyAlignment="1">
      <alignment horizontal="right" vertical="center"/>
    </xf>
    <xf numFmtId="0" fontId="42" fillId="0" borderId="1" xfId="0" applyFont="1" applyBorder="1" applyAlignment="1">
      <alignment horizontal="right" vertical="center"/>
    </xf>
    <xf numFmtId="164" fontId="36" fillId="0" borderId="128" xfId="0" applyNumberFormat="1" applyFont="1" applyBorder="1" applyAlignment="1" applyProtection="1">
      <alignment horizontal="right" vertical="top"/>
      <protection locked="0"/>
    </xf>
    <xf numFmtId="0" fontId="29" fillId="6" borderId="3" xfId="0" applyFont="1" applyFill="1" applyBorder="1" applyAlignment="1">
      <alignment vertical="center"/>
    </xf>
    <xf numFmtId="0" fontId="29" fillId="6" borderId="4" xfId="0" applyFont="1" applyFill="1" applyBorder="1" applyAlignment="1">
      <alignment vertical="center"/>
    </xf>
    <xf numFmtId="0" fontId="29" fillId="6" borderId="5" xfId="0" applyFont="1" applyFill="1" applyBorder="1" applyAlignment="1">
      <alignment vertical="center"/>
    </xf>
    <xf numFmtId="0" fontId="29" fillId="3" borderId="3" xfId="0" applyFont="1" applyFill="1" applyBorder="1" applyAlignment="1">
      <alignment vertical="center"/>
    </xf>
    <xf numFmtId="0" fontId="29" fillId="3" borderId="4" xfId="0" applyFont="1" applyFill="1" applyBorder="1" applyAlignment="1">
      <alignment vertical="center"/>
    </xf>
    <xf numFmtId="0" fontId="29" fillId="3" borderId="5" xfId="0" applyFont="1" applyFill="1" applyBorder="1" applyAlignment="1">
      <alignment vertical="center"/>
    </xf>
    <xf numFmtId="49" fontId="26" fillId="10" borderId="0" xfId="0" applyNumberFormat="1" applyFont="1" applyFill="1" applyAlignment="1">
      <alignment horizontal="center" vertical="center"/>
    </xf>
    <xf numFmtId="0" fontId="29" fillId="10" borderId="3" xfId="0" applyFont="1" applyFill="1" applyBorder="1" applyAlignment="1">
      <alignment vertical="center"/>
    </xf>
    <xf numFmtId="0" fontId="29" fillId="10" borderId="4" xfId="0" applyFont="1" applyFill="1" applyBorder="1" applyAlignment="1">
      <alignment vertical="center"/>
    </xf>
    <xf numFmtId="0" fontId="29" fillId="10" borderId="5" xfId="0" applyFont="1" applyFill="1" applyBorder="1" applyAlignment="1">
      <alignment vertical="center"/>
    </xf>
    <xf numFmtId="0" fontId="29" fillId="4" borderId="3" xfId="0" applyFont="1" applyFill="1" applyBorder="1" applyAlignment="1">
      <alignment vertical="center"/>
    </xf>
    <xf numFmtId="0" fontId="29" fillId="4" borderId="4" xfId="0" applyFont="1" applyFill="1" applyBorder="1" applyAlignment="1">
      <alignment vertical="center"/>
    </xf>
    <xf numFmtId="0" fontId="29" fillId="4" borderId="5" xfId="0" applyFont="1" applyFill="1" applyBorder="1" applyAlignment="1">
      <alignment vertical="center"/>
    </xf>
    <xf numFmtId="0" fontId="29" fillId="6" borderId="12" xfId="0" applyFont="1" applyFill="1" applyBorder="1" applyAlignment="1">
      <alignment vertical="center"/>
    </xf>
    <xf numFmtId="0" fontId="29" fillId="6" borderId="13" xfId="0" applyFont="1" applyFill="1" applyBorder="1" applyAlignment="1">
      <alignment vertical="center"/>
    </xf>
    <xf numFmtId="0" fontId="29" fillId="6" borderId="14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0" fontId="30" fillId="5" borderId="79" xfId="0" applyFont="1" applyFill="1" applyBorder="1" applyAlignment="1">
      <alignment vertical="center"/>
    </xf>
    <xf numFmtId="0" fontId="30" fillId="5" borderId="6" xfId="0" applyFont="1" applyFill="1" applyBorder="1" applyAlignment="1">
      <alignment vertical="center"/>
    </xf>
    <xf numFmtId="0" fontId="29" fillId="5" borderId="3" xfId="0" applyFont="1" applyFill="1" applyBorder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5" xfId="0" applyFont="1" applyFill="1" applyBorder="1" applyAlignment="1">
      <alignment vertical="center"/>
    </xf>
    <xf numFmtId="0" fontId="29" fillId="5" borderId="12" xfId="0" applyFont="1" applyFill="1" applyBorder="1" applyAlignment="1">
      <alignment vertical="center"/>
    </xf>
    <xf numFmtId="0" fontId="29" fillId="5" borderId="13" xfId="0" applyFont="1" applyFill="1" applyBorder="1" applyAlignment="1">
      <alignment vertical="center"/>
    </xf>
    <xf numFmtId="0" fontId="29" fillId="5" borderId="14" xfId="0" applyFont="1" applyFill="1" applyBorder="1" applyAlignment="1">
      <alignment vertical="center"/>
    </xf>
    <xf numFmtId="0" fontId="29" fillId="4" borderId="7" xfId="0" applyFont="1" applyFill="1" applyBorder="1" applyAlignment="1">
      <alignment vertical="center"/>
    </xf>
    <xf numFmtId="0" fontId="29" fillId="4" borderId="79" xfId="0" applyFont="1" applyFill="1" applyBorder="1" applyAlignment="1">
      <alignment vertical="center"/>
    </xf>
    <xf numFmtId="0" fontId="29" fillId="4" borderId="6" xfId="0" applyFont="1" applyFill="1" applyBorder="1" applyAlignment="1">
      <alignment vertical="center"/>
    </xf>
    <xf numFmtId="0" fontId="29" fillId="6" borderId="0" xfId="0" applyFont="1" applyFill="1" applyAlignment="1">
      <alignment vertical="center"/>
    </xf>
    <xf numFmtId="0" fontId="29" fillId="5" borderId="7" xfId="0" applyFont="1" applyFill="1" applyBorder="1" applyAlignment="1">
      <alignment vertical="center"/>
    </xf>
    <xf numFmtId="0" fontId="29" fillId="5" borderId="79" xfId="0" applyFont="1" applyFill="1" applyBorder="1" applyAlignment="1">
      <alignment vertical="center"/>
    </xf>
    <xf numFmtId="0" fontId="29" fillId="5" borderId="6" xfId="0" applyFont="1" applyFill="1" applyBorder="1" applyAlignment="1">
      <alignment vertical="center"/>
    </xf>
    <xf numFmtId="0" fontId="34" fillId="4" borderId="12" xfId="0" applyFont="1" applyFill="1" applyBorder="1" applyAlignment="1">
      <alignment horizontal="left" vertical="center"/>
    </xf>
    <xf numFmtId="0" fontId="34" fillId="4" borderId="13" xfId="0" applyFont="1" applyFill="1" applyBorder="1" applyAlignment="1">
      <alignment horizontal="left" vertical="center"/>
    </xf>
    <xf numFmtId="0" fontId="34" fillId="4" borderId="14" xfId="0" applyFont="1" applyFill="1" applyBorder="1" applyAlignment="1">
      <alignment horizontal="left" vertical="center"/>
    </xf>
    <xf numFmtId="0" fontId="26" fillId="8" borderId="54" xfId="0" applyFont="1" applyFill="1" applyBorder="1" applyAlignment="1">
      <alignment horizontal="right" vertical="center"/>
    </xf>
    <xf numFmtId="0" fontId="26" fillId="8" borderId="43" xfId="0" applyFont="1" applyFill="1" applyBorder="1" applyAlignment="1">
      <alignment horizontal="right" vertical="center"/>
    </xf>
    <xf numFmtId="0" fontId="27" fillId="8" borderId="40" xfId="0" applyFont="1" applyFill="1" applyBorder="1" applyAlignment="1">
      <alignment horizontal="right"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4" xfId="0" applyFont="1" applyFill="1" applyBorder="1" applyAlignment="1">
      <alignment horizontal="left" vertical="center"/>
    </xf>
    <xf numFmtId="0" fontId="29" fillId="4" borderId="5" xfId="0" applyFont="1" applyFill="1" applyBorder="1" applyAlignment="1">
      <alignment horizontal="left" vertical="center"/>
    </xf>
    <xf numFmtId="0" fontId="29" fillId="4" borderId="13" xfId="0" applyFont="1" applyFill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9" fillId="5" borderId="29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29" fillId="5" borderId="30" xfId="0" applyFont="1" applyFill="1" applyBorder="1" applyAlignment="1">
      <alignment horizontal="left" vertical="center"/>
    </xf>
    <xf numFmtId="0" fontId="29" fillId="4" borderId="7" xfId="0" applyFont="1" applyFill="1" applyBorder="1" applyAlignment="1">
      <alignment horizontal="left" vertical="center"/>
    </xf>
    <xf numFmtId="0" fontId="29" fillId="4" borderId="79" xfId="0" applyFont="1" applyFill="1" applyBorder="1" applyAlignment="1">
      <alignment horizontal="left" vertical="center"/>
    </xf>
    <xf numFmtId="0" fontId="29" fillId="4" borderId="6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4" borderId="29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30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6" borderId="12" xfId="0" applyFont="1" applyFill="1" applyBorder="1"/>
    <xf numFmtId="0" fontId="2" fillId="6" borderId="13" xfId="0" applyFont="1" applyFill="1" applyBorder="1"/>
    <xf numFmtId="0" fontId="2" fillId="6" borderId="14" xfId="0" applyFont="1" applyFill="1" applyBorder="1"/>
    <xf numFmtId="0" fontId="2" fillId="5" borderId="29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5" borderId="30" xfId="0" applyFont="1" applyFill="1" applyBorder="1" applyAlignment="1">
      <alignment horizontal="left"/>
    </xf>
    <xf numFmtId="0" fontId="3" fillId="8" borderId="54" xfId="0" applyFont="1" applyFill="1" applyBorder="1" applyAlignment="1">
      <alignment horizontal="right" vertical="center"/>
    </xf>
    <xf numFmtId="0" fontId="3" fillId="8" borderId="43" xfId="0" applyFont="1" applyFill="1" applyBorder="1" applyAlignment="1">
      <alignment horizontal="right" vertical="center"/>
    </xf>
    <xf numFmtId="0" fontId="12" fillId="8" borderId="54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0" fontId="18" fillId="8" borderId="43" xfId="0" applyFont="1" applyFill="1" applyBorder="1" applyAlignment="1">
      <alignment horizontal="center" vertical="center" wrapText="1"/>
    </xf>
    <xf numFmtId="0" fontId="18" fillId="8" borderId="65" xfId="0" applyFont="1" applyFill="1" applyBorder="1" applyAlignment="1">
      <alignment horizontal="center" vertical="center" wrapText="1"/>
    </xf>
    <xf numFmtId="0" fontId="18" fillId="8" borderId="66" xfId="0" applyFont="1" applyFill="1" applyBorder="1" applyAlignment="1">
      <alignment horizontal="center" vertical="center" wrapText="1"/>
    </xf>
    <xf numFmtId="0" fontId="8" fillId="4" borderId="12" xfId="0" applyFont="1" applyFill="1" applyBorder="1"/>
    <xf numFmtId="0" fontId="8" fillId="4" borderId="13" xfId="0" applyFont="1" applyFill="1" applyBorder="1"/>
    <xf numFmtId="0" fontId="8" fillId="4" borderId="14" xfId="0" applyFont="1" applyFill="1" applyBorder="1"/>
    <xf numFmtId="0" fontId="1" fillId="8" borderId="40" xfId="0" applyFont="1" applyFill="1" applyBorder="1" applyAlignment="1">
      <alignment horizontal="right" vertical="center"/>
    </xf>
    <xf numFmtId="0" fontId="8" fillId="4" borderId="29" xfId="0" applyFont="1" applyFill="1" applyBorder="1"/>
    <xf numFmtId="0" fontId="8" fillId="4" borderId="0" xfId="0" applyFont="1" applyFill="1"/>
    <xf numFmtId="0" fontId="8" fillId="4" borderId="30" xfId="0" applyFont="1" applyFill="1" applyBorder="1"/>
    <xf numFmtId="0" fontId="3" fillId="8" borderId="54" xfId="0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center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2" fillId="5" borderId="29" xfId="0" applyFont="1" applyFill="1" applyBorder="1"/>
    <xf numFmtId="0" fontId="2" fillId="5" borderId="0" xfId="0" applyFont="1" applyFill="1"/>
    <xf numFmtId="0" fontId="2" fillId="5" borderId="30" xfId="0" applyFont="1" applyFill="1" applyBorder="1"/>
    <xf numFmtId="0" fontId="3" fillId="8" borderId="65" xfId="0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30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5" fillId="5" borderId="29" xfId="0" applyFont="1" applyFill="1" applyBorder="1"/>
    <xf numFmtId="0" fontId="5" fillId="5" borderId="0" xfId="0" applyFont="1" applyFill="1"/>
    <xf numFmtId="0" fontId="5" fillId="5" borderId="30" xfId="0" applyFont="1" applyFill="1" applyBorder="1"/>
    <xf numFmtId="3" fontId="3" fillId="8" borderId="54" xfId="0" applyNumberFormat="1" applyFont="1" applyFill="1" applyBorder="1" applyAlignment="1">
      <alignment horizontal="right" vertical="center"/>
    </xf>
    <xf numFmtId="3" fontId="3" fillId="8" borderId="43" xfId="0" applyNumberFormat="1" applyFont="1" applyFill="1" applyBorder="1" applyAlignment="1">
      <alignment horizontal="right" vertical="center"/>
    </xf>
    <xf numFmtId="10" fontId="3" fillId="8" borderId="54" xfId="0" applyNumberFormat="1" applyFont="1" applyFill="1" applyBorder="1" applyAlignment="1">
      <alignment horizontal="right" vertical="center"/>
    </xf>
    <xf numFmtId="10" fontId="3" fillId="8" borderId="43" xfId="0" applyNumberFormat="1" applyFont="1" applyFill="1" applyBorder="1" applyAlignment="1">
      <alignment horizontal="right" vertical="center"/>
    </xf>
    <xf numFmtId="49" fontId="4" fillId="10" borderId="0" xfId="0" applyNumberFormat="1" applyFont="1" applyFill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3" fillId="8" borderId="68" xfId="0" applyFont="1" applyFill="1" applyBorder="1" applyAlignment="1">
      <alignment horizontal="center" vertical="center"/>
    </xf>
    <xf numFmtId="0" fontId="3" fillId="8" borderId="75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/>
    </xf>
    <xf numFmtId="0" fontId="10" fillId="8" borderId="71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3" fillId="8" borderId="60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57" xfId="0" applyFont="1" applyFill="1" applyBorder="1" applyAlignment="1">
      <alignment horizontal="right" vertical="center"/>
    </xf>
    <xf numFmtId="0" fontId="3" fillId="8" borderId="45" xfId="0" applyFont="1" applyFill="1" applyBorder="1" applyAlignment="1">
      <alignment horizontal="right" vertical="center"/>
    </xf>
    <xf numFmtId="0" fontId="1" fillId="8" borderId="39" xfId="0" applyFont="1" applyFill="1" applyBorder="1" applyAlignment="1">
      <alignment horizontal="right" vertical="center"/>
    </xf>
    <xf numFmtId="0" fontId="12" fillId="8" borderId="60" xfId="0" applyFont="1" applyFill="1" applyBorder="1" applyAlignment="1">
      <alignment horizontal="center" vertical="center" wrapText="1"/>
    </xf>
    <xf numFmtId="0" fontId="12" fillId="8" borderId="67" xfId="0" applyFont="1" applyFill="1" applyBorder="1" applyAlignment="1">
      <alignment horizontal="center" vertical="center" wrapText="1"/>
    </xf>
    <xf numFmtId="0" fontId="3" fillId="8" borderId="57" xfId="0" applyFont="1" applyFill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60" xfId="0" applyFont="1" applyFill="1" applyBorder="1" applyAlignment="1">
      <alignment horizontal="right" vertical="center"/>
    </xf>
    <xf numFmtId="0" fontId="3" fillId="8" borderId="61" xfId="0" applyFont="1" applyFill="1" applyBorder="1" applyAlignment="1">
      <alignment horizontal="right" vertical="center"/>
    </xf>
    <xf numFmtId="0" fontId="3" fillId="8" borderId="62" xfId="0" applyFont="1" applyFill="1" applyBorder="1" applyAlignment="1">
      <alignment horizontal="right" vertical="center"/>
    </xf>
    <xf numFmtId="0" fontId="3" fillId="8" borderId="63" xfId="0" applyFont="1" applyFill="1" applyBorder="1" applyAlignment="1">
      <alignment horizontal="right" vertical="center"/>
    </xf>
    <xf numFmtId="0" fontId="3" fillId="8" borderId="64" xfId="0" applyFont="1" applyFill="1" applyBorder="1" applyAlignment="1">
      <alignment horizontal="right" vertical="center"/>
    </xf>
    <xf numFmtId="165" fontId="12" fillId="8" borderId="68" xfId="0" applyNumberFormat="1" applyFont="1" applyFill="1" applyBorder="1" applyAlignment="1">
      <alignment horizontal="center" vertical="center" wrapText="1"/>
    </xf>
    <xf numFmtId="165" fontId="12" fillId="8" borderId="13" xfId="0" applyNumberFormat="1" applyFont="1" applyFill="1" applyBorder="1" applyAlignment="1">
      <alignment horizontal="center" vertical="center" wrapText="1"/>
    </xf>
    <xf numFmtId="165" fontId="12" fillId="8" borderId="14" xfId="0" applyNumberFormat="1" applyFont="1" applyFill="1" applyBorder="1" applyAlignment="1">
      <alignment horizontal="center" vertical="center" wrapText="1"/>
    </xf>
    <xf numFmtId="165" fontId="12" fillId="8" borderId="54" xfId="0" applyNumberFormat="1" applyFont="1" applyFill="1" applyBorder="1" applyAlignment="1">
      <alignment horizontal="center" vertical="center" wrapText="1"/>
    </xf>
    <xf numFmtId="165" fontId="12" fillId="8" borderId="0" xfId="0" applyNumberFormat="1" applyFont="1" applyFill="1" applyAlignment="1">
      <alignment horizontal="center" vertical="center" wrapText="1"/>
    </xf>
    <xf numFmtId="165" fontId="12" fillId="8" borderId="30" xfId="0" applyNumberFormat="1" applyFont="1" applyFill="1" applyBorder="1" applyAlignment="1">
      <alignment horizontal="center" vertical="center" wrapText="1"/>
    </xf>
    <xf numFmtId="0" fontId="12" fillId="8" borderId="65" xfId="0" applyFont="1" applyFill="1" applyBorder="1" applyAlignment="1">
      <alignment horizontal="center" vertical="center" wrapText="1"/>
    </xf>
    <xf numFmtId="0" fontId="12" fillId="8" borderId="66" xfId="0" applyFont="1" applyFill="1" applyBorder="1" applyAlignment="1">
      <alignment horizontal="center" vertical="center" wrapText="1"/>
    </xf>
    <xf numFmtId="165" fontId="12" fillId="8" borderId="69" xfId="0" applyNumberFormat="1" applyFont="1" applyFill="1" applyBorder="1" applyAlignment="1">
      <alignment horizontal="center" vertical="center" wrapText="1"/>
    </xf>
    <xf numFmtId="165" fontId="12" fillId="8" borderId="7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Foster Care Monthly Cost Trend FY 16 - 17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17'!$F$73:$Q$73</c:f>
              <c:numCache>
                <c:formatCode>"$"#,##0.00</c:formatCode>
                <c:ptCount val="12"/>
                <c:pt idx="0">
                  <c:v>232357.33999999997</c:v>
                </c:pt>
                <c:pt idx="1">
                  <c:v>194220.53999999998</c:v>
                </c:pt>
                <c:pt idx="2">
                  <c:v>204078.73</c:v>
                </c:pt>
                <c:pt idx="3">
                  <c:v>219499.06</c:v>
                </c:pt>
                <c:pt idx="4">
                  <c:v>230534.27999999997</c:v>
                </c:pt>
                <c:pt idx="5">
                  <c:v>231526.99999999997</c:v>
                </c:pt>
                <c:pt idx="6">
                  <c:v>233178.71000000002</c:v>
                </c:pt>
                <c:pt idx="7">
                  <c:v>208246.78</c:v>
                </c:pt>
                <c:pt idx="8">
                  <c:v>204435.53999999998</c:v>
                </c:pt>
                <c:pt idx="9">
                  <c:v>235358.99999999997</c:v>
                </c:pt>
                <c:pt idx="10">
                  <c:v>244739.55000000002</c:v>
                </c:pt>
                <c:pt idx="11">
                  <c:v>240363.47999999998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3-4FBE-BC84-AD065FC004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87531736"/>
        <c:axId val="487531344"/>
      </c:barChart>
      <c:catAx>
        <c:axId val="48753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31344"/>
        <c:crosses val="autoZero"/>
        <c:auto val="1"/>
        <c:lblAlgn val="ctr"/>
        <c:lblOffset val="100"/>
        <c:noMultiLvlLbl val="0"/>
      </c:catAx>
      <c:valAx>
        <c:axId val="487531344"/>
        <c:scaling>
          <c:orientation val="minMax"/>
        </c:scaling>
        <c:delete val="1"/>
        <c:axPos val="l"/>
        <c:numFmt formatCode="&quot;$&quot;#,##0;[Red]&quot;$&quot;#,##0" sourceLinked="0"/>
        <c:majorTickMark val="none"/>
        <c:minorTickMark val="none"/>
        <c:tickLblPos val="nextTo"/>
        <c:crossAx val="487531736"/>
        <c:crosses val="autoZero"/>
        <c:crossBetween val="between"/>
        <c:majorUnit val="100000"/>
        <c:min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# Youth in Foster Care Monthly Trend FY 16- 17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17'!$F$27:$Q$27</c:f>
              <c:numCache>
                <c:formatCode>General</c:formatCode>
                <c:ptCount val="12"/>
                <c:pt idx="0">
                  <c:v>252</c:v>
                </c:pt>
                <c:pt idx="1">
                  <c:v>259</c:v>
                </c:pt>
                <c:pt idx="2">
                  <c:v>262</c:v>
                </c:pt>
                <c:pt idx="3">
                  <c:v>265</c:v>
                </c:pt>
                <c:pt idx="4">
                  <c:v>267</c:v>
                </c:pt>
                <c:pt idx="5">
                  <c:v>263</c:v>
                </c:pt>
                <c:pt idx="6">
                  <c:v>250</c:v>
                </c:pt>
                <c:pt idx="7">
                  <c:v>252</c:v>
                </c:pt>
                <c:pt idx="8">
                  <c:v>256</c:v>
                </c:pt>
                <c:pt idx="9">
                  <c:v>281</c:v>
                </c:pt>
                <c:pt idx="10">
                  <c:v>281</c:v>
                </c:pt>
                <c:pt idx="11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F-40C8-87D1-01D2C56B339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87530168"/>
        <c:axId val="487530952"/>
      </c:barChart>
      <c:catAx>
        <c:axId val="48753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30952"/>
        <c:crosses val="autoZero"/>
        <c:auto val="1"/>
        <c:lblAlgn val="ctr"/>
        <c:lblOffset val="100"/>
        <c:noMultiLvlLbl val="0"/>
      </c:catAx>
      <c:valAx>
        <c:axId val="487530952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487530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  <a:r>
              <a:rPr lang="en-US" baseline="0"/>
              <a:t> Foster Care Cost by Expenditure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'FY 17'!$B$65</c:f>
              <c:strCache>
                <c:ptCount val="1"/>
                <c:pt idx="0">
                  <c:v>Room and Board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17'!$F$65:$Q$65</c:f>
              <c:numCache>
                <c:formatCode>"$"#,##0.00</c:formatCode>
                <c:ptCount val="12"/>
                <c:pt idx="0">
                  <c:v>197412.19999999998</c:v>
                </c:pt>
                <c:pt idx="1">
                  <c:v>178691.56999999998</c:v>
                </c:pt>
                <c:pt idx="2">
                  <c:v>189467.29</c:v>
                </c:pt>
                <c:pt idx="3">
                  <c:v>189519.35999999999</c:v>
                </c:pt>
                <c:pt idx="4">
                  <c:v>209617.27999999997</c:v>
                </c:pt>
                <c:pt idx="5">
                  <c:v>196319.33</c:v>
                </c:pt>
                <c:pt idx="6">
                  <c:v>192408.79</c:v>
                </c:pt>
                <c:pt idx="7">
                  <c:v>191127.35</c:v>
                </c:pt>
                <c:pt idx="8">
                  <c:v>192551.1</c:v>
                </c:pt>
                <c:pt idx="9">
                  <c:v>197490.02</c:v>
                </c:pt>
                <c:pt idx="10">
                  <c:v>201142.44</c:v>
                </c:pt>
                <c:pt idx="11">
                  <c:v>204155.61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9-469A-A4DD-05A18D0BD87A}"/>
            </c:ext>
          </c:extLst>
        </c:ser>
        <c:ser>
          <c:idx val="1"/>
          <c:order val="1"/>
          <c:tx>
            <c:strRef>
              <c:f>'FY 17'!$B$66</c:f>
              <c:strCache>
                <c:ptCount val="1"/>
                <c:pt idx="0">
                  <c:v>Personal Needs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17'!$F$66:$Q$66</c:f>
              <c:numCache>
                <c:formatCode>"$"#,##0.00</c:formatCode>
                <c:ptCount val="12"/>
                <c:pt idx="0">
                  <c:v>2228.5300000000002</c:v>
                </c:pt>
                <c:pt idx="1">
                  <c:v>2289.14</c:v>
                </c:pt>
                <c:pt idx="2">
                  <c:v>2434.44</c:v>
                </c:pt>
                <c:pt idx="3">
                  <c:v>2433.0700000000002</c:v>
                </c:pt>
                <c:pt idx="4">
                  <c:v>3403.28</c:v>
                </c:pt>
                <c:pt idx="5">
                  <c:v>2532.67</c:v>
                </c:pt>
                <c:pt idx="6">
                  <c:v>2540.98</c:v>
                </c:pt>
                <c:pt idx="7">
                  <c:v>2472.6999999999998</c:v>
                </c:pt>
                <c:pt idx="8">
                  <c:v>2430.15</c:v>
                </c:pt>
                <c:pt idx="9">
                  <c:v>2522.7800000000002</c:v>
                </c:pt>
                <c:pt idx="10">
                  <c:v>2666.85</c:v>
                </c:pt>
                <c:pt idx="11">
                  <c:v>2612.75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9-469A-A4DD-05A18D0BD87A}"/>
            </c:ext>
          </c:extLst>
        </c:ser>
        <c:ser>
          <c:idx val="2"/>
          <c:order val="2"/>
          <c:tx>
            <c:strRef>
              <c:f>'FY 17'!$B$67</c:f>
              <c:strCache>
                <c:ptCount val="1"/>
                <c:pt idx="0">
                  <c:v>Clothing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17'!$F$67:$Q$67</c:f>
              <c:numCache>
                <c:formatCode>"$"#,##0.00</c:formatCode>
                <c:ptCount val="12"/>
                <c:pt idx="0">
                  <c:v>20110</c:v>
                </c:pt>
                <c:pt idx="1">
                  <c:v>1250</c:v>
                </c:pt>
                <c:pt idx="2">
                  <c:v>1010.04</c:v>
                </c:pt>
                <c:pt idx="3">
                  <c:v>23160</c:v>
                </c:pt>
                <c:pt idx="4">
                  <c:v>1390</c:v>
                </c:pt>
                <c:pt idx="5">
                  <c:v>0</c:v>
                </c:pt>
                <c:pt idx="6">
                  <c:v>22920</c:v>
                </c:pt>
                <c:pt idx="7">
                  <c:v>540</c:v>
                </c:pt>
                <c:pt idx="8">
                  <c:v>380</c:v>
                </c:pt>
                <c:pt idx="9">
                  <c:v>21840</c:v>
                </c:pt>
                <c:pt idx="10">
                  <c:v>2055.08</c:v>
                </c:pt>
                <c:pt idx="11">
                  <c:v>531.62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C9-469A-A4DD-05A18D0BD87A}"/>
            </c:ext>
          </c:extLst>
        </c:ser>
        <c:ser>
          <c:idx val="3"/>
          <c:order val="3"/>
          <c:tx>
            <c:strRef>
              <c:f>'FY 17'!$B$68</c:f>
              <c:strCache>
                <c:ptCount val="1"/>
                <c:pt idx="0">
                  <c:v>Educational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17'!$F$68:$Q$68</c:f>
              <c:numCache>
                <c:formatCode>"$"#,##0.00</c:formatCode>
                <c:ptCount val="12"/>
                <c:pt idx="0">
                  <c:v>2120</c:v>
                </c:pt>
                <c:pt idx="1">
                  <c:v>280</c:v>
                </c:pt>
                <c:pt idx="2">
                  <c:v>368</c:v>
                </c:pt>
                <c:pt idx="3">
                  <c:v>211.98</c:v>
                </c:pt>
                <c:pt idx="4">
                  <c:v>3575.08</c:v>
                </c:pt>
                <c:pt idx="5">
                  <c:v>27.68</c:v>
                </c:pt>
                <c:pt idx="6">
                  <c:v>175</c:v>
                </c:pt>
                <c:pt idx="7">
                  <c:v>990</c:v>
                </c:pt>
                <c:pt idx="8">
                  <c:v>565</c:v>
                </c:pt>
                <c:pt idx="9">
                  <c:v>1704.77</c:v>
                </c:pt>
                <c:pt idx="10">
                  <c:v>7850</c:v>
                </c:pt>
                <c:pt idx="11">
                  <c:v>3001.7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C9-469A-A4DD-05A18D0BD87A}"/>
            </c:ext>
          </c:extLst>
        </c:ser>
        <c:ser>
          <c:idx val="4"/>
          <c:order val="4"/>
          <c:tx>
            <c:strRef>
              <c:f>'FY 17'!$B$69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17'!$F$69:$Q$69</c:f>
              <c:numCache>
                <c:formatCode>"$"#,##0.00</c:formatCode>
                <c:ptCount val="12"/>
                <c:pt idx="0">
                  <c:v>7941.5</c:v>
                </c:pt>
                <c:pt idx="1">
                  <c:v>2689</c:v>
                </c:pt>
                <c:pt idx="2">
                  <c:v>5374.4000000000005</c:v>
                </c:pt>
                <c:pt idx="3">
                  <c:v>2185.46</c:v>
                </c:pt>
                <c:pt idx="4">
                  <c:v>5545.92</c:v>
                </c:pt>
                <c:pt idx="5">
                  <c:v>5449.65</c:v>
                </c:pt>
                <c:pt idx="6">
                  <c:v>7249.6</c:v>
                </c:pt>
                <c:pt idx="7">
                  <c:v>3263.96</c:v>
                </c:pt>
                <c:pt idx="8">
                  <c:v>5357.8499999999995</c:v>
                </c:pt>
                <c:pt idx="9">
                  <c:v>5620</c:v>
                </c:pt>
                <c:pt idx="10">
                  <c:v>26935.83</c:v>
                </c:pt>
                <c:pt idx="11">
                  <c:v>27373.72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C9-469A-A4DD-05A18D0BD87A}"/>
            </c:ext>
          </c:extLst>
        </c:ser>
        <c:ser>
          <c:idx val="5"/>
          <c:order val="5"/>
          <c:tx>
            <c:strRef>
              <c:f>'FY 17'!$B$70</c:f>
              <c:strCache>
                <c:ptCount val="1"/>
                <c:pt idx="0">
                  <c:v>Respite Care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17'!$F$70:$Q$70</c:f>
              <c:numCache>
                <c:formatCode>"$"#,##0.00</c:formatCode>
                <c:ptCount val="12"/>
                <c:pt idx="0">
                  <c:v>1598.8</c:v>
                </c:pt>
                <c:pt idx="1">
                  <c:v>4116.8</c:v>
                </c:pt>
                <c:pt idx="2">
                  <c:v>2664.2</c:v>
                </c:pt>
                <c:pt idx="3">
                  <c:v>1895</c:v>
                </c:pt>
                <c:pt idx="4">
                  <c:v>500</c:v>
                </c:pt>
                <c:pt idx="5">
                  <c:v>1005</c:v>
                </c:pt>
                <c:pt idx="6">
                  <c:v>3870.13</c:v>
                </c:pt>
                <c:pt idx="7">
                  <c:v>5842.06</c:v>
                </c:pt>
                <c:pt idx="8">
                  <c:v>1239.55</c:v>
                </c:pt>
                <c:pt idx="9">
                  <c:v>1986.6</c:v>
                </c:pt>
                <c:pt idx="10">
                  <c:v>2286.35</c:v>
                </c:pt>
                <c:pt idx="11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C9-469A-A4DD-05A18D0BD87A}"/>
            </c:ext>
          </c:extLst>
        </c:ser>
        <c:ser>
          <c:idx val="6"/>
          <c:order val="6"/>
          <c:tx>
            <c:strRef>
              <c:f>'FY 17'!$B$71</c:f>
              <c:strCache>
                <c:ptCount val="1"/>
                <c:pt idx="0">
                  <c:v>Medical Needs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17'!$F$71:$Q$71</c:f>
              <c:numCache>
                <c:formatCode>"$"#,##0.00</c:formatCode>
                <c:ptCount val="12"/>
                <c:pt idx="0">
                  <c:v>65.47</c:v>
                </c:pt>
                <c:pt idx="1">
                  <c:v>3703.03</c:v>
                </c:pt>
                <c:pt idx="2">
                  <c:v>1424</c:v>
                </c:pt>
                <c:pt idx="3">
                  <c:v>94.19</c:v>
                </c:pt>
                <c:pt idx="4">
                  <c:v>6382</c:v>
                </c:pt>
                <c:pt idx="5">
                  <c:v>13440.3</c:v>
                </c:pt>
                <c:pt idx="6">
                  <c:v>3970.52</c:v>
                </c:pt>
                <c:pt idx="7">
                  <c:v>3967.02</c:v>
                </c:pt>
                <c:pt idx="8">
                  <c:v>1760.99</c:v>
                </c:pt>
                <c:pt idx="9">
                  <c:v>4194.83</c:v>
                </c:pt>
                <c:pt idx="10">
                  <c:v>1803</c:v>
                </c:pt>
                <c:pt idx="11">
                  <c:v>951.31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C9-469A-A4DD-05A18D0BD87A}"/>
            </c:ext>
          </c:extLst>
        </c:ser>
        <c:ser>
          <c:idx val="7"/>
          <c:order val="7"/>
          <c:tx>
            <c:strRef>
              <c:f>'FY 17'!$B$72</c:f>
              <c:strCache>
                <c:ptCount val="1"/>
                <c:pt idx="0">
                  <c:v>Emergency Payment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'FY 17'!$F$4:$Q$4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'FY 17'!$F$72:$Q$72</c:f>
              <c:numCache>
                <c:formatCode>"$"#,##0.00</c:formatCode>
                <c:ptCount val="12"/>
                <c:pt idx="0">
                  <c:v>880.84</c:v>
                </c:pt>
                <c:pt idx="1">
                  <c:v>1201</c:v>
                </c:pt>
                <c:pt idx="2">
                  <c:v>1336.36</c:v>
                </c:pt>
                <c:pt idx="3">
                  <c:v>0</c:v>
                </c:pt>
                <c:pt idx="4">
                  <c:v>120.72</c:v>
                </c:pt>
                <c:pt idx="5">
                  <c:v>12752.37</c:v>
                </c:pt>
                <c:pt idx="6">
                  <c:v>43.69</c:v>
                </c:pt>
                <c:pt idx="7">
                  <c:v>43.69</c:v>
                </c:pt>
                <c:pt idx="8">
                  <c:v>150.9</c:v>
                </c:pt>
                <c:pt idx="9">
                  <c:v>0</c:v>
                </c:pt>
                <c:pt idx="10">
                  <c:v>0</c:v>
                </c:pt>
                <c:pt idx="11">
                  <c:v>386.77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C9-469A-A4DD-05A18D0B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87532912"/>
        <c:axId val="489638456"/>
      </c:barChart>
      <c:catAx>
        <c:axId val="48753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638456"/>
        <c:crosses val="autoZero"/>
        <c:auto val="1"/>
        <c:lblAlgn val="ctr"/>
        <c:lblOffset val="100"/>
        <c:noMultiLvlLbl val="0"/>
      </c:catAx>
      <c:valAx>
        <c:axId val="48963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3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165100</xdr:rowOff>
    </xdr:from>
    <xdr:to>
      <xdr:col>6</xdr:col>
      <xdr:colOff>749300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163870</xdr:rowOff>
    </xdr:from>
    <xdr:to>
      <xdr:col>6</xdr:col>
      <xdr:colOff>689623</xdr:colOff>
      <xdr:row>44</xdr:row>
      <xdr:rowOff>81934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191181</xdr:rowOff>
    </xdr:from>
    <xdr:to>
      <xdr:col>7</xdr:col>
      <xdr:colOff>819354</xdr:colOff>
      <xdr:row>69</xdr:row>
      <xdr:rowOff>184354</xdr:rowOff>
    </xdr:to>
    <xdr:graphicFrame macro="">
      <xdr:nvGraphicFramePr>
        <xdr:cNvPr id="4" name="Chart 3" title="Foster Care Cost Per Month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76FA-12E8-41A1-B478-4A05F7FF343A}">
  <sheetPr>
    <pageSetUpPr fitToPage="1"/>
  </sheetPr>
  <dimension ref="A1:V238"/>
  <sheetViews>
    <sheetView tabSelected="1" topLeftCell="B1" zoomScaleNormal="100" workbookViewId="0">
      <pane xSplit="6" ySplit="5" topLeftCell="H6" activePane="bottomRight" state="frozen"/>
      <selection activeCell="B1" sqref="B1"/>
      <selection pane="topRight" activeCell="G1" sqref="G1"/>
      <selection pane="bottomLeft" activeCell="B6" sqref="B6"/>
      <selection pane="bottomRight" activeCell="N165" sqref="N165"/>
    </sheetView>
  </sheetViews>
  <sheetFormatPr defaultColWidth="8.85546875" defaultRowHeight="12.75" x14ac:dyDescent="0.25"/>
  <cols>
    <col min="1" max="1" width="9.140625" style="518" hidden="1" customWidth="1"/>
    <col min="2" max="2" width="70.28515625" style="518" customWidth="1"/>
    <col min="3" max="3" width="22.5703125" style="518" hidden="1" customWidth="1"/>
    <col min="4" max="4" width="0.140625" style="875" hidden="1" customWidth="1"/>
    <col min="5" max="6" width="13.85546875" style="696" hidden="1" customWidth="1"/>
    <col min="7" max="7" width="23.85546875" style="653" customWidth="1"/>
    <col min="8" max="8" width="18" style="653" customWidth="1"/>
    <col min="9" max="9" width="17.85546875" style="696" customWidth="1"/>
    <col min="10" max="10" width="14.7109375" style="696" customWidth="1"/>
    <col min="11" max="11" width="15.5703125" style="696" customWidth="1"/>
    <col min="12" max="12" width="14.85546875" style="696" customWidth="1"/>
    <col min="13" max="13" width="17.28515625" style="696" customWidth="1"/>
    <col min="14" max="14" width="17.7109375" style="923" customWidth="1"/>
    <col min="15" max="15" width="14.5703125" style="696" customWidth="1"/>
    <col min="16" max="16" width="16.5703125" style="696" customWidth="1"/>
    <col min="17" max="19" width="12.7109375" style="696" customWidth="1"/>
    <col min="20" max="20" width="12.140625" style="696" customWidth="1"/>
    <col min="21" max="21" width="11" style="518" bestFit="1" customWidth="1"/>
    <col min="22" max="16384" width="8.85546875" style="518"/>
  </cols>
  <sheetData>
    <row r="1" spans="1:22" s="768" customFormat="1" ht="15.95" customHeight="1" x14ac:dyDescent="0.25">
      <c r="A1" s="764"/>
      <c r="B1" s="765"/>
      <c r="C1" s="765" t="s">
        <v>389</v>
      </c>
      <c r="D1" s="864"/>
      <c r="E1" s="1083" t="s">
        <v>262</v>
      </c>
      <c r="F1" s="1084"/>
      <c r="G1" s="504" t="s">
        <v>262</v>
      </c>
      <c r="H1" s="504" t="s">
        <v>123</v>
      </c>
      <c r="I1" s="766"/>
      <c r="J1" s="766"/>
      <c r="K1" s="766"/>
      <c r="L1" s="766"/>
      <c r="M1" s="766"/>
      <c r="N1" s="973"/>
      <c r="O1" s="766"/>
      <c r="P1" s="766"/>
      <c r="Q1" s="766"/>
      <c r="R1" s="766"/>
      <c r="S1" s="766"/>
      <c r="T1" s="767"/>
    </row>
    <row r="2" spans="1:22" s="768" customFormat="1" ht="28.5" customHeight="1" x14ac:dyDescent="0.25">
      <c r="A2" s="769"/>
      <c r="B2" s="770"/>
      <c r="C2" s="770"/>
      <c r="D2" s="886"/>
      <c r="E2" s="771" t="s">
        <v>406</v>
      </c>
      <c r="F2" s="772" t="s">
        <v>414</v>
      </c>
      <c r="G2" s="773" t="s">
        <v>426</v>
      </c>
      <c r="H2" s="773" t="s">
        <v>435</v>
      </c>
      <c r="I2" s="774" t="s">
        <v>6</v>
      </c>
      <c r="J2" s="771" t="s">
        <v>7</v>
      </c>
      <c r="K2" s="771" t="s">
        <v>8</v>
      </c>
      <c r="L2" s="771" t="s">
        <v>9</v>
      </c>
      <c r="M2" s="771" t="s">
        <v>10</v>
      </c>
      <c r="N2" s="974" t="s">
        <v>11</v>
      </c>
      <c r="O2" s="771" t="s">
        <v>12</v>
      </c>
      <c r="P2" s="771" t="s">
        <v>13</v>
      </c>
      <c r="Q2" s="771" t="s">
        <v>14</v>
      </c>
      <c r="R2" s="771" t="s">
        <v>15</v>
      </c>
      <c r="S2" s="771" t="s">
        <v>16</v>
      </c>
      <c r="T2" s="771" t="s">
        <v>17</v>
      </c>
    </row>
    <row r="3" spans="1:22" s="655" customFormat="1" ht="15.95" customHeight="1" x14ac:dyDescent="0.25">
      <c r="A3" s="654"/>
      <c r="B3" s="1054" t="s">
        <v>264</v>
      </c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6"/>
    </row>
    <row r="4" spans="1:22" s="655" customFormat="1" ht="15.95" customHeight="1" x14ac:dyDescent="0.25">
      <c r="A4" s="654"/>
      <c r="B4" s="1085"/>
      <c r="C4" s="1086"/>
      <c r="D4" s="1086"/>
      <c r="E4" s="1086"/>
      <c r="F4" s="1086"/>
      <c r="G4" s="1086"/>
      <c r="H4" s="1086"/>
      <c r="I4" s="1086"/>
      <c r="J4" s="1086"/>
      <c r="K4" s="1086"/>
      <c r="L4" s="1086"/>
      <c r="M4" s="1086"/>
      <c r="N4" s="1086"/>
      <c r="O4" s="1086"/>
      <c r="P4" s="1086"/>
      <c r="Q4" s="1086"/>
      <c r="R4" s="1086"/>
      <c r="S4" s="1086"/>
      <c r="T4" s="1087"/>
    </row>
    <row r="5" spans="1:22" s="655" customFormat="1" ht="12.95" customHeight="1" x14ac:dyDescent="0.25">
      <c r="A5" s="654"/>
      <c r="B5" s="1088" t="s">
        <v>18</v>
      </c>
      <c r="C5" s="1089"/>
      <c r="D5" s="1089"/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089"/>
      <c r="R5" s="1089"/>
      <c r="S5" s="1089"/>
      <c r="T5" s="1090"/>
    </row>
    <row r="6" spans="1:22" ht="30" customHeight="1" x14ac:dyDescent="0.25">
      <c r="A6" s="516"/>
      <c r="B6" s="509" t="s">
        <v>282</v>
      </c>
      <c r="C6" s="902" t="s">
        <v>391</v>
      </c>
      <c r="D6" s="871"/>
      <c r="E6" s="653">
        <v>3067</v>
      </c>
      <c r="F6" s="653">
        <v>3153</v>
      </c>
      <c r="G6" s="1013">
        <v>2758</v>
      </c>
      <c r="H6" s="510">
        <f>SUM(J6:U6)</f>
        <v>862</v>
      </c>
      <c r="I6" s="511">
        <v>144</v>
      </c>
      <c r="J6" s="512">
        <v>145</v>
      </c>
      <c r="K6" s="512">
        <v>143</v>
      </c>
      <c r="L6" s="512">
        <v>187</v>
      </c>
      <c r="M6" s="512">
        <v>198</v>
      </c>
      <c r="N6" s="512">
        <v>189</v>
      </c>
      <c r="O6" s="512"/>
      <c r="P6" s="512"/>
      <c r="Q6" s="512"/>
      <c r="R6" s="512"/>
      <c r="S6" s="512"/>
      <c r="T6" s="513"/>
    </row>
    <row r="7" spans="1:22" ht="21" customHeight="1" x14ac:dyDescent="0.25">
      <c r="A7" s="516"/>
      <c r="B7" s="514" t="s">
        <v>263</v>
      </c>
      <c r="C7" s="902" t="s">
        <v>391</v>
      </c>
      <c r="D7" s="872"/>
      <c r="E7" s="653">
        <v>1429</v>
      </c>
      <c r="F7" s="653">
        <v>1390</v>
      </c>
      <c r="G7" s="1013">
        <v>1459</v>
      </c>
      <c r="H7" s="510">
        <f t="shared" ref="G7:H12" si="0">SUM(J7:U7)</f>
        <v>517</v>
      </c>
      <c r="I7" s="511">
        <v>79</v>
      </c>
      <c r="J7" s="512">
        <v>85</v>
      </c>
      <c r="K7" s="512">
        <v>84</v>
      </c>
      <c r="L7" s="512">
        <v>121</v>
      </c>
      <c r="M7" s="512">
        <v>112</v>
      </c>
      <c r="N7" s="512">
        <v>115</v>
      </c>
      <c r="O7" s="512"/>
      <c r="P7" s="512"/>
      <c r="Q7" s="512"/>
      <c r="R7" s="512"/>
      <c r="S7" s="512"/>
      <c r="T7" s="513"/>
    </row>
    <row r="8" spans="1:22" ht="33.950000000000003" customHeight="1" x14ac:dyDescent="0.25">
      <c r="A8" s="516"/>
      <c r="B8" s="522" t="s">
        <v>283</v>
      </c>
      <c r="C8" s="902" t="s">
        <v>391</v>
      </c>
      <c r="D8" s="873"/>
      <c r="E8" s="653">
        <v>3905</v>
      </c>
      <c r="F8" s="653">
        <v>5404</v>
      </c>
      <c r="G8" s="1013">
        <v>3641</v>
      </c>
      <c r="H8" s="510">
        <f t="shared" si="0"/>
        <v>1901</v>
      </c>
      <c r="I8" s="511">
        <v>381</v>
      </c>
      <c r="J8" s="512">
        <v>393</v>
      </c>
      <c r="K8" s="696">
        <v>321</v>
      </c>
      <c r="L8" s="512">
        <v>399</v>
      </c>
      <c r="M8" s="512">
        <v>396</v>
      </c>
      <c r="N8" s="512">
        <v>392</v>
      </c>
      <c r="O8" s="512"/>
      <c r="P8" s="512"/>
      <c r="Q8" s="512"/>
      <c r="R8" s="512"/>
      <c r="S8" s="512"/>
      <c r="T8" s="513"/>
    </row>
    <row r="9" spans="1:22" ht="27.95" customHeight="1" x14ac:dyDescent="0.25">
      <c r="A9" s="516"/>
      <c r="B9" s="509" t="s">
        <v>284</v>
      </c>
      <c r="C9" s="902" t="s">
        <v>391</v>
      </c>
      <c r="D9" s="871"/>
      <c r="E9" s="653">
        <v>205</v>
      </c>
      <c r="F9" s="653">
        <v>295</v>
      </c>
      <c r="G9" s="1013">
        <v>400</v>
      </c>
      <c r="H9" s="510">
        <f t="shared" si="0"/>
        <v>139</v>
      </c>
      <c r="I9" s="511">
        <v>20</v>
      </c>
      <c r="J9" s="512">
        <v>19</v>
      </c>
      <c r="K9" s="696">
        <v>32</v>
      </c>
      <c r="L9" s="512">
        <v>32</v>
      </c>
      <c r="M9" s="512">
        <v>36</v>
      </c>
      <c r="N9" s="512">
        <v>20</v>
      </c>
      <c r="O9" s="512"/>
      <c r="P9" s="512"/>
      <c r="Q9" s="512"/>
      <c r="R9" s="512"/>
      <c r="S9" s="512"/>
      <c r="T9" s="513"/>
    </row>
    <row r="10" spans="1:22" ht="1.5" customHeight="1" x14ac:dyDescent="0.25">
      <c r="A10" s="516"/>
      <c r="B10" s="760" t="s">
        <v>275</v>
      </c>
      <c r="C10" s="902" t="s">
        <v>391</v>
      </c>
      <c r="D10" s="874"/>
      <c r="E10" s="653">
        <v>0</v>
      </c>
      <c r="F10" s="653">
        <v>0</v>
      </c>
      <c r="G10" s="1013">
        <v>0</v>
      </c>
      <c r="H10" s="510">
        <f t="shared" si="0"/>
        <v>0</v>
      </c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</row>
    <row r="11" spans="1:22" ht="23.45" customHeight="1" x14ac:dyDescent="0.25">
      <c r="A11" s="516"/>
      <c r="B11" s="522" t="s">
        <v>285</v>
      </c>
      <c r="C11" s="902" t="s">
        <v>391</v>
      </c>
      <c r="D11" s="873"/>
      <c r="E11" s="653">
        <v>1188</v>
      </c>
      <c r="F11" s="653">
        <v>1107</v>
      </c>
      <c r="G11" s="1013">
        <v>1057</v>
      </c>
      <c r="H11" s="510">
        <f t="shared" si="0"/>
        <v>378</v>
      </c>
      <c r="I11" s="511">
        <v>59</v>
      </c>
      <c r="J11" s="512">
        <v>66</v>
      </c>
      <c r="K11" s="512">
        <v>52</v>
      </c>
      <c r="L11" s="512">
        <v>89</v>
      </c>
      <c r="M11" s="512">
        <v>76</v>
      </c>
      <c r="N11" s="512">
        <v>95</v>
      </c>
      <c r="O11" s="512"/>
      <c r="P11" s="512"/>
      <c r="Q11" s="512"/>
      <c r="R11" s="512"/>
      <c r="S11" s="512"/>
      <c r="T11" s="513"/>
    </row>
    <row r="12" spans="1:22" ht="2.4500000000000002" hidden="1" customHeight="1" x14ac:dyDescent="0.25">
      <c r="A12" s="516"/>
      <c r="B12" s="761" t="s">
        <v>276</v>
      </c>
      <c r="C12" s="902" t="s">
        <v>391</v>
      </c>
      <c r="D12" s="872"/>
      <c r="E12" s="653">
        <v>0</v>
      </c>
      <c r="F12" s="653">
        <v>0</v>
      </c>
      <c r="G12" s="1013">
        <f t="shared" si="0"/>
        <v>0</v>
      </c>
      <c r="H12" s="510">
        <f t="shared" si="0"/>
        <v>0</v>
      </c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V12" s="933"/>
    </row>
    <row r="13" spans="1:22" ht="15" hidden="1" customHeight="1" x14ac:dyDescent="0.25">
      <c r="A13" s="516"/>
      <c r="B13" s="1079" t="s">
        <v>19</v>
      </c>
      <c r="C13" s="1080"/>
      <c r="D13" s="1080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1"/>
      <c r="T13" s="1092"/>
      <c r="V13" s="933"/>
    </row>
    <row r="14" spans="1:22" ht="12.75" hidden="1" customHeight="1" x14ac:dyDescent="0.25">
      <c r="A14" s="516"/>
      <c r="B14" s="777" t="s">
        <v>375</v>
      </c>
      <c r="C14" s="750"/>
      <c r="E14" s="778"/>
      <c r="F14" s="779"/>
      <c r="G14" s="785"/>
      <c r="H14" s="785"/>
      <c r="I14" s="780"/>
      <c r="J14" s="512"/>
      <c r="K14" s="512"/>
      <c r="L14" s="512"/>
      <c r="M14" s="512"/>
      <c r="N14" s="850"/>
      <c r="O14" s="512"/>
      <c r="P14" s="512"/>
      <c r="Q14" s="512"/>
      <c r="R14" s="512"/>
      <c r="S14" s="512"/>
      <c r="T14" s="513"/>
      <c r="V14" s="933"/>
    </row>
    <row r="15" spans="1:22" ht="12.75" hidden="1" customHeight="1" x14ac:dyDescent="0.25">
      <c r="A15" s="516"/>
      <c r="B15" s="784" t="s">
        <v>22</v>
      </c>
      <c r="C15" s="907"/>
      <c r="E15" s="778"/>
      <c r="F15" s="779"/>
      <c r="G15" s="786"/>
      <c r="H15" s="786"/>
      <c r="I15" s="511"/>
      <c r="J15" s="512">
        <v>117</v>
      </c>
      <c r="K15" s="512"/>
      <c r="L15" s="512"/>
      <c r="M15" s="512"/>
      <c r="N15" s="850"/>
      <c r="O15" s="512"/>
      <c r="P15" s="512"/>
      <c r="Q15" s="512"/>
      <c r="R15" s="512"/>
      <c r="S15" s="512"/>
      <c r="T15" s="513"/>
      <c r="V15" s="933"/>
    </row>
    <row r="16" spans="1:22" hidden="1" x14ac:dyDescent="0.25">
      <c r="A16" s="516"/>
      <c r="B16" s="784" t="s">
        <v>23</v>
      </c>
      <c r="C16" s="907"/>
      <c r="E16" s="778"/>
      <c r="F16" s="779"/>
      <c r="G16" s="781"/>
      <c r="H16" s="781"/>
      <c r="I16" s="511"/>
      <c r="J16" s="512">
        <v>93</v>
      </c>
      <c r="K16" s="512"/>
      <c r="L16" s="512"/>
      <c r="M16" s="512"/>
      <c r="N16" s="850"/>
      <c r="O16" s="512"/>
      <c r="P16" s="512"/>
      <c r="Q16" s="512"/>
      <c r="R16" s="512"/>
      <c r="S16" s="512"/>
      <c r="T16" s="513"/>
    </row>
    <row r="17" spans="1:20" hidden="1" x14ac:dyDescent="0.25">
      <c r="A17" s="516"/>
      <c r="B17" s="784" t="s">
        <v>199</v>
      </c>
      <c r="C17" s="907"/>
      <c r="E17" s="778"/>
      <c r="F17" s="779"/>
      <c r="G17" s="787"/>
      <c r="H17" s="787"/>
      <c r="I17" s="511"/>
      <c r="J17" s="512"/>
      <c r="K17" s="512"/>
      <c r="L17" s="512"/>
      <c r="M17" s="512"/>
      <c r="N17" s="850"/>
      <c r="O17" s="512"/>
      <c r="P17" s="512"/>
      <c r="Q17" s="512"/>
      <c r="R17" s="512"/>
      <c r="S17" s="512"/>
      <c r="T17" s="513"/>
    </row>
    <row r="18" spans="1:20" hidden="1" x14ac:dyDescent="0.25">
      <c r="A18" s="516"/>
      <c r="B18" s="782" t="s">
        <v>376</v>
      </c>
      <c r="C18" s="750"/>
      <c r="E18" s="778"/>
      <c r="F18" s="779"/>
      <c r="G18" s="510"/>
      <c r="H18" s="510"/>
      <c r="I18" s="519"/>
      <c r="J18" s="520"/>
      <c r="K18" s="520"/>
      <c r="L18" s="520"/>
      <c r="M18" s="520"/>
      <c r="N18" s="975"/>
      <c r="O18" s="520"/>
      <c r="P18" s="520"/>
      <c r="Q18" s="520"/>
      <c r="R18" s="520"/>
      <c r="S18" s="520"/>
      <c r="T18" s="521"/>
    </row>
    <row r="19" spans="1:20" hidden="1" x14ac:dyDescent="0.25">
      <c r="A19" s="516"/>
      <c r="B19" s="782" t="s">
        <v>377</v>
      </c>
      <c r="C19" s="750"/>
      <c r="E19" s="778"/>
      <c r="F19" s="779"/>
      <c r="G19" s="523"/>
      <c r="H19" s="523"/>
      <c r="I19" s="519"/>
      <c r="J19" s="520"/>
      <c r="K19" s="520"/>
      <c r="L19" s="520"/>
      <c r="M19" s="520"/>
      <c r="N19" s="975"/>
      <c r="O19" s="520"/>
      <c r="P19" s="520"/>
      <c r="Q19" s="520"/>
      <c r="R19" s="520"/>
      <c r="S19" s="520"/>
      <c r="T19" s="521"/>
    </row>
    <row r="20" spans="1:20" hidden="1" x14ac:dyDescent="0.25">
      <c r="A20" s="516"/>
      <c r="B20" s="782" t="s">
        <v>378</v>
      </c>
      <c r="C20" s="750"/>
      <c r="E20" s="778"/>
      <c r="F20" s="779"/>
      <c r="G20" s="523"/>
      <c r="H20" s="523"/>
      <c r="I20" s="519"/>
      <c r="J20" s="520"/>
      <c r="K20" s="520"/>
      <c r="L20" s="520"/>
      <c r="M20" s="520"/>
      <c r="N20" s="975"/>
      <c r="O20" s="520"/>
      <c r="P20" s="520"/>
      <c r="Q20" s="520"/>
      <c r="R20" s="520"/>
      <c r="S20" s="520"/>
      <c r="T20" s="521"/>
    </row>
    <row r="21" spans="1:20" ht="37.5" hidden="1" customHeight="1" x14ac:dyDescent="0.25">
      <c r="A21" s="516"/>
      <c r="B21" s="782" t="s">
        <v>379</v>
      </c>
      <c r="C21" s="750"/>
      <c r="E21" s="778"/>
      <c r="F21" s="779"/>
      <c r="G21" s="523"/>
      <c r="H21" s="523"/>
      <c r="I21" s="519"/>
      <c r="J21" s="520"/>
      <c r="K21" s="520"/>
      <c r="L21" s="520"/>
      <c r="M21" s="520"/>
      <c r="N21" s="975"/>
      <c r="O21" s="520"/>
      <c r="P21" s="520"/>
      <c r="Q21" s="520"/>
      <c r="R21" s="520"/>
      <c r="S21" s="520"/>
      <c r="T21" s="521"/>
    </row>
    <row r="22" spans="1:20" ht="40.5" hidden="1" customHeight="1" x14ac:dyDescent="0.25">
      <c r="A22" s="516"/>
      <c r="B22" s="782" t="s">
        <v>380</v>
      </c>
      <c r="C22" s="750"/>
      <c r="E22" s="778"/>
      <c r="F22" s="779"/>
      <c r="G22" s="523"/>
      <c r="H22" s="523"/>
      <c r="I22" s="519"/>
      <c r="J22" s="520"/>
      <c r="K22" s="520"/>
      <c r="L22" s="520"/>
      <c r="M22" s="520"/>
      <c r="N22" s="975"/>
      <c r="O22" s="520"/>
      <c r="P22" s="520"/>
      <c r="Q22" s="520"/>
      <c r="R22" s="520"/>
      <c r="S22" s="520"/>
      <c r="T22" s="521"/>
    </row>
    <row r="23" spans="1:20" ht="36.75" hidden="1" customHeight="1" x14ac:dyDescent="0.25">
      <c r="A23" s="516"/>
      <c r="B23" s="783" t="s">
        <v>381</v>
      </c>
      <c r="C23" s="908"/>
      <c r="D23" s="876"/>
      <c r="E23" s="778"/>
      <c r="F23" s="779"/>
      <c r="G23" s="515"/>
      <c r="H23" s="515"/>
      <c r="I23" s="524"/>
      <c r="J23" s="525"/>
      <c r="K23" s="525"/>
      <c r="L23" s="525"/>
      <c r="M23" s="525"/>
      <c r="N23" s="551"/>
      <c r="O23" s="525"/>
      <c r="P23" s="525"/>
      <c r="Q23" s="525"/>
      <c r="R23" s="525"/>
      <c r="S23" s="525"/>
      <c r="T23" s="526"/>
    </row>
    <row r="24" spans="1:20" s="655" customFormat="1" ht="15.95" customHeight="1" x14ac:dyDescent="0.25">
      <c r="A24" s="654"/>
      <c r="B24" s="1079" t="s">
        <v>293</v>
      </c>
      <c r="C24" s="1080"/>
      <c r="D24" s="1080"/>
      <c r="E24" s="1080"/>
      <c r="F24" s="1080"/>
      <c r="G24" s="1080"/>
      <c r="H24" s="1080"/>
      <c r="I24" s="1080"/>
      <c r="J24" s="1080"/>
      <c r="K24" s="1080"/>
      <c r="L24" s="1080"/>
      <c r="M24" s="1080"/>
      <c r="N24" s="1080"/>
      <c r="O24" s="1080"/>
      <c r="P24" s="1080"/>
      <c r="Q24" s="1080"/>
      <c r="R24" s="1080"/>
      <c r="S24" s="1080"/>
      <c r="T24" s="1081"/>
    </row>
    <row r="25" spans="1:20" ht="15" customHeight="1" x14ac:dyDescent="0.25">
      <c r="A25" s="516"/>
      <c r="B25" s="509" t="s">
        <v>277</v>
      </c>
      <c r="C25" s="750" t="s">
        <v>392</v>
      </c>
      <c r="E25" s="717">
        <v>0</v>
      </c>
      <c r="F25" s="718">
        <v>3435</v>
      </c>
      <c r="G25" s="722">
        <f t="shared" ref="G25:H27" si="1">SUM(I25:T25)</f>
        <v>1219</v>
      </c>
      <c r="H25" s="722">
        <f t="shared" si="1"/>
        <v>991</v>
      </c>
      <c r="I25" s="512">
        <v>228</v>
      </c>
      <c r="J25" s="512">
        <v>212</v>
      </c>
      <c r="K25" s="512">
        <v>200</v>
      </c>
      <c r="L25" s="696">
        <v>198</v>
      </c>
      <c r="M25" s="512">
        <v>192</v>
      </c>
      <c r="N25" s="512">
        <v>189</v>
      </c>
      <c r="O25" s="512"/>
      <c r="P25" s="512"/>
      <c r="Q25" s="512"/>
      <c r="R25" s="512"/>
      <c r="S25" s="512"/>
      <c r="T25" s="527"/>
    </row>
    <row r="26" spans="1:20" ht="15" customHeight="1" x14ac:dyDescent="0.25">
      <c r="A26" s="516"/>
      <c r="B26" s="762" t="s">
        <v>22</v>
      </c>
      <c r="C26" s="750" t="s">
        <v>392</v>
      </c>
      <c r="E26" s="719">
        <v>0</v>
      </c>
      <c r="F26" s="720">
        <v>1807</v>
      </c>
      <c r="G26" s="723">
        <f t="shared" si="1"/>
        <v>676</v>
      </c>
      <c r="H26" s="723">
        <f t="shared" si="1"/>
        <v>553</v>
      </c>
      <c r="I26" s="696">
        <v>123</v>
      </c>
      <c r="J26" s="512">
        <v>116</v>
      </c>
      <c r="K26" s="512">
        <v>112</v>
      </c>
      <c r="L26" s="696">
        <v>112</v>
      </c>
      <c r="M26" s="512">
        <v>108</v>
      </c>
      <c r="N26" s="512">
        <v>105</v>
      </c>
      <c r="O26" s="512"/>
      <c r="P26" s="512"/>
      <c r="Q26" s="512"/>
      <c r="R26" s="512"/>
      <c r="S26" s="512"/>
      <c r="T26" s="527"/>
    </row>
    <row r="27" spans="1:20" ht="15" customHeight="1" x14ac:dyDescent="0.25">
      <c r="A27" s="516"/>
      <c r="B27" s="762" t="s">
        <v>23</v>
      </c>
      <c r="C27" s="750" t="s">
        <v>392</v>
      </c>
      <c r="E27" s="719">
        <v>0</v>
      </c>
      <c r="F27" s="720">
        <v>1664</v>
      </c>
      <c r="G27" s="723">
        <f t="shared" si="1"/>
        <v>543</v>
      </c>
      <c r="H27" s="723">
        <f t="shared" si="1"/>
        <v>438</v>
      </c>
      <c r="I27" s="512">
        <v>105</v>
      </c>
      <c r="J27" s="512">
        <v>96</v>
      </c>
      <c r="K27" s="512">
        <v>88</v>
      </c>
      <c r="L27" s="696">
        <v>86</v>
      </c>
      <c r="M27" s="512">
        <v>84</v>
      </c>
      <c r="N27" s="512">
        <v>84</v>
      </c>
      <c r="O27" s="512"/>
      <c r="P27" s="512"/>
      <c r="Q27" s="512"/>
      <c r="R27" s="512"/>
      <c r="S27" s="512"/>
      <c r="T27" s="527"/>
    </row>
    <row r="28" spans="1:20" ht="15" customHeight="1" x14ac:dyDescent="0.25">
      <c r="A28" s="516"/>
      <c r="B28" s="762" t="s">
        <v>398</v>
      </c>
      <c r="C28" s="750"/>
      <c r="E28" s="719"/>
      <c r="F28" s="720"/>
      <c r="G28" s="723"/>
      <c r="H28" s="723"/>
      <c r="I28" s="512">
        <v>173</v>
      </c>
      <c r="J28" s="512">
        <v>164</v>
      </c>
      <c r="K28" s="512">
        <v>153</v>
      </c>
      <c r="L28" s="696">
        <v>152</v>
      </c>
      <c r="M28" s="512">
        <v>147</v>
      </c>
      <c r="N28" s="512">
        <v>148</v>
      </c>
      <c r="O28" s="512"/>
      <c r="P28" s="512"/>
      <c r="Q28" s="512"/>
      <c r="R28" s="512"/>
      <c r="S28" s="512"/>
      <c r="T28" s="527"/>
    </row>
    <row r="29" spans="1:20" ht="15" customHeight="1" x14ac:dyDescent="0.25">
      <c r="A29" s="516"/>
      <c r="B29" s="762" t="s">
        <v>399</v>
      </c>
      <c r="C29" s="750"/>
      <c r="E29" s="719"/>
      <c r="F29" s="720"/>
      <c r="G29" s="723"/>
      <c r="H29" s="723"/>
      <c r="I29" s="512">
        <v>35</v>
      </c>
      <c r="J29" s="512">
        <v>10</v>
      </c>
      <c r="K29" s="512">
        <v>32</v>
      </c>
      <c r="L29" s="696">
        <v>31</v>
      </c>
      <c r="M29" s="512">
        <v>30</v>
      </c>
      <c r="N29" s="512">
        <v>29</v>
      </c>
      <c r="P29" s="512"/>
      <c r="Q29" s="512"/>
      <c r="R29" s="512"/>
      <c r="T29" s="527"/>
    </row>
    <row r="30" spans="1:20" ht="15" customHeight="1" x14ac:dyDescent="0.25">
      <c r="A30" s="516"/>
      <c r="B30" s="762" t="s">
        <v>401</v>
      </c>
      <c r="C30" s="750"/>
      <c r="E30" s="719"/>
      <c r="F30" s="720"/>
      <c r="G30" s="723"/>
      <c r="H30" s="723"/>
      <c r="I30" s="512">
        <v>14</v>
      </c>
      <c r="J30" s="512">
        <v>5</v>
      </c>
      <c r="K30" s="512">
        <v>10</v>
      </c>
      <c r="L30" s="696">
        <v>10</v>
      </c>
      <c r="M30" s="512">
        <v>10</v>
      </c>
      <c r="N30" s="512">
        <v>7</v>
      </c>
      <c r="O30" s="512"/>
      <c r="P30" s="512"/>
      <c r="Q30" s="512"/>
      <c r="R30" s="512"/>
      <c r="S30" s="512"/>
      <c r="T30" s="527"/>
    </row>
    <row r="31" spans="1:20" ht="15" customHeight="1" x14ac:dyDescent="0.25">
      <c r="A31" s="516"/>
      <c r="B31" s="762" t="s">
        <v>400</v>
      </c>
      <c r="C31" s="750"/>
      <c r="E31" s="719"/>
      <c r="F31" s="720"/>
      <c r="G31" s="723"/>
      <c r="H31" s="723"/>
      <c r="I31" s="512">
        <v>6</v>
      </c>
      <c r="J31" s="512">
        <v>33</v>
      </c>
      <c r="K31" s="512">
        <v>5</v>
      </c>
      <c r="L31" s="696">
        <v>5</v>
      </c>
      <c r="M31" s="512">
        <v>5</v>
      </c>
      <c r="N31" s="512">
        <v>5</v>
      </c>
      <c r="O31" s="512"/>
      <c r="P31" s="512"/>
      <c r="Q31" s="512"/>
      <c r="R31" s="512"/>
      <c r="S31" s="512"/>
      <c r="T31" s="527"/>
    </row>
    <row r="32" spans="1:20" ht="15" customHeight="1" x14ac:dyDescent="0.25">
      <c r="A32" s="516"/>
      <c r="B32" s="762" t="s">
        <v>278</v>
      </c>
      <c r="C32" s="750" t="s">
        <v>392</v>
      </c>
      <c r="E32" s="719">
        <v>0</v>
      </c>
      <c r="F32" s="720">
        <v>1429</v>
      </c>
      <c r="G32" s="723">
        <f t="shared" ref="G32:H43" si="2">SUM(I32:T32)</f>
        <v>258</v>
      </c>
      <c r="H32" s="723">
        <f t="shared" si="2"/>
        <v>204</v>
      </c>
      <c r="I32" s="512">
        <v>54</v>
      </c>
      <c r="J32" s="512">
        <v>50</v>
      </c>
      <c r="K32" s="512">
        <v>37</v>
      </c>
      <c r="L32" s="696">
        <v>42</v>
      </c>
      <c r="M32" s="512">
        <v>36</v>
      </c>
      <c r="N32" s="512">
        <v>39</v>
      </c>
      <c r="O32" s="512"/>
      <c r="P32" s="512"/>
      <c r="Q32" s="512"/>
      <c r="R32" s="512"/>
      <c r="S32" s="512"/>
      <c r="T32" s="527"/>
    </row>
    <row r="33" spans="1:20" ht="15" customHeight="1" x14ac:dyDescent="0.25">
      <c r="A33" s="516"/>
      <c r="B33" s="762" t="s">
        <v>279</v>
      </c>
      <c r="C33" s="750" t="s">
        <v>392</v>
      </c>
      <c r="E33" s="719">
        <v>0</v>
      </c>
      <c r="F33" s="720">
        <v>949</v>
      </c>
      <c r="G33" s="723">
        <f t="shared" si="2"/>
        <v>228</v>
      </c>
      <c r="H33" s="723">
        <f t="shared" si="2"/>
        <v>193</v>
      </c>
      <c r="I33" s="512">
        <v>35</v>
      </c>
      <c r="J33" s="512">
        <v>32</v>
      </c>
      <c r="K33" s="512">
        <v>40</v>
      </c>
      <c r="L33" s="696">
        <v>39</v>
      </c>
      <c r="M33" s="512">
        <v>43</v>
      </c>
      <c r="N33" s="512">
        <v>39</v>
      </c>
      <c r="O33" s="512"/>
      <c r="P33" s="512"/>
      <c r="Q33" s="512"/>
      <c r="R33" s="512"/>
      <c r="S33" s="512"/>
      <c r="T33" s="527"/>
    </row>
    <row r="34" spans="1:20" ht="15" customHeight="1" x14ac:dyDescent="0.25">
      <c r="A34" s="516"/>
      <c r="B34" s="762" t="s">
        <v>280</v>
      </c>
      <c r="C34" s="750" t="s">
        <v>392</v>
      </c>
      <c r="E34" s="719">
        <v>0</v>
      </c>
      <c r="F34" s="720">
        <v>1093</v>
      </c>
      <c r="G34" s="723">
        <f t="shared" si="2"/>
        <v>733</v>
      </c>
      <c r="H34" s="723">
        <f t="shared" si="2"/>
        <v>594</v>
      </c>
      <c r="I34" s="512">
        <v>139</v>
      </c>
      <c r="J34" s="512">
        <v>130</v>
      </c>
      <c r="K34" s="512">
        <v>123</v>
      </c>
      <c r="L34" s="696">
        <v>117</v>
      </c>
      <c r="M34" s="512">
        <v>113</v>
      </c>
      <c r="N34" s="512">
        <v>111</v>
      </c>
      <c r="O34" s="512"/>
      <c r="P34" s="512"/>
      <c r="Q34" s="512"/>
      <c r="R34" s="512"/>
      <c r="S34" s="512"/>
      <c r="T34" s="527"/>
    </row>
    <row r="35" spans="1:20" ht="27" customHeight="1" x14ac:dyDescent="0.25">
      <c r="A35" s="516"/>
      <c r="B35" s="528" t="s">
        <v>287</v>
      </c>
      <c r="C35" s="750" t="s">
        <v>392</v>
      </c>
      <c r="D35" s="876"/>
      <c r="E35" s="719">
        <v>0</v>
      </c>
      <c r="F35" s="720">
        <v>211</v>
      </c>
      <c r="G35" s="723">
        <f t="shared" si="2"/>
        <v>192</v>
      </c>
      <c r="H35" s="723">
        <f t="shared" si="2"/>
        <v>159</v>
      </c>
      <c r="I35" s="512">
        <v>33</v>
      </c>
      <c r="J35" s="512">
        <v>30</v>
      </c>
      <c r="K35" s="512">
        <v>30</v>
      </c>
      <c r="L35" s="696">
        <v>32</v>
      </c>
      <c r="M35" s="512">
        <v>33</v>
      </c>
      <c r="N35" s="512">
        <v>34</v>
      </c>
      <c r="O35" s="512"/>
      <c r="P35" s="512"/>
      <c r="Q35" s="512"/>
      <c r="R35" s="512"/>
      <c r="S35" s="512"/>
      <c r="T35" s="527"/>
    </row>
    <row r="36" spans="1:20" ht="15" customHeight="1" x14ac:dyDescent="0.25">
      <c r="A36" s="516"/>
      <c r="B36" s="522" t="s">
        <v>288</v>
      </c>
      <c r="C36" s="750" t="s">
        <v>392</v>
      </c>
      <c r="E36" s="719">
        <v>0</v>
      </c>
      <c r="F36" s="720">
        <v>212</v>
      </c>
      <c r="G36" s="723">
        <f t="shared" si="2"/>
        <v>29</v>
      </c>
      <c r="H36" s="723">
        <f t="shared" si="2"/>
        <v>25</v>
      </c>
      <c r="I36" s="561">
        <v>4</v>
      </c>
      <c r="J36" s="512">
        <v>5</v>
      </c>
      <c r="K36" s="512">
        <v>12</v>
      </c>
      <c r="L36" s="696">
        <v>5</v>
      </c>
      <c r="M36" s="512">
        <v>0</v>
      </c>
      <c r="N36" s="512">
        <v>3</v>
      </c>
      <c r="O36" s="512"/>
      <c r="P36" s="512"/>
      <c r="Q36" s="512"/>
      <c r="R36" s="512"/>
      <c r="S36" s="512"/>
      <c r="T36" s="527"/>
    </row>
    <row r="37" spans="1:20" ht="15" customHeight="1" x14ac:dyDescent="0.25">
      <c r="A37" s="516"/>
      <c r="B37" s="522" t="s">
        <v>289</v>
      </c>
      <c r="C37" s="750" t="s">
        <v>392</v>
      </c>
      <c r="E37" s="719">
        <v>0</v>
      </c>
      <c r="F37" s="720">
        <v>213</v>
      </c>
      <c r="G37" s="723">
        <f t="shared" si="2"/>
        <v>44</v>
      </c>
      <c r="H37" s="723">
        <f t="shared" si="2"/>
        <v>37</v>
      </c>
      <c r="I37" s="561">
        <v>7</v>
      </c>
      <c r="J37" s="512">
        <v>18</v>
      </c>
      <c r="K37" s="512">
        <v>0</v>
      </c>
      <c r="L37" s="696">
        <v>7</v>
      </c>
      <c r="M37" s="512">
        <v>6</v>
      </c>
      <c r="N37" s="512">
        <v>6</v>
      </c>
      <c r="O37" s="512"/>
      <c r="P37" s="512"/>
      <c r="Q37" s="512"/>
      <c r="R37" s="512"/>
      <c r="S37" s="512"/>
      <c r="T37" s="527"/>
    </row>
    <row r="38" spans="1:20" ht="15" customHeight="1" x14ac:dyDescent="0.25">
      <c r="A38" s="516"/>
      <c r="B38" s="762" t="s">
        <v>113</v>
      </c>
      <c r="C38" s="750" t="s">
        <v>392</v>
      </c>
      <c r="E38" s="719">
        <v>0</v>
      </c>
      <c r="F38" s="720">
        <v>214</v>
      </c>
      <c r="G38" s="723">
        <f t="shared" si="2"/>
        <v>12</v>
      </c>
      <c r="H38" s="723">
        <f t="shared" si="2"/>
        <v>11</v>
      </c>
      <c r="I38" s="859">
        <v>1</v>
      </c>
      <c r="J38" s="531">
        <v>2</v>
      </c>
      <c r="K38" s="531">
        <v>3</v>
      </c>
      <c r="L38" s="696">
        <v>1</v>
      </c>
      <c r="M38" s="531">
        <v>2</v>
      </c>
      <c r="N38" s="531">
        <v>3</v>
      </c>
      <c r="O38" s="531"/>
      <c r="P38" s="531"/>
      <c r="Q38" s="531"/>
      <c r="R38" s="531"/>
      <c r="S38" s="512"/>
      <c r="T38" s="532"/>
    </row>
    <row r="39" spans="1:20" ht="15" customHeight="1" x14ac:dyDescent="0.25">
      <c r="A39" s="516"/>
      <c r="B39" s="762" t="s">
        <v>139</v>
      </c>
      <c r="C39" s="750" t="s">
        <v>392</v>
      </c>
      <c r="E39" s="719">
        <v>0</v>
      </c>
      <c r="F39" s="720">
        <v>215</v>
      </c>
      <c r="G39" s="723">
        <f t="shared" si="2"/>
        <v>1</v>
      </c>
      <c r="H39" s="723">
        <f t="shared" si="2"/>
        <v>1</v>
      </c>
      <c r="I39" s="859">
        <v>0</v>
      </c>
      <c r="J39" s="531">
        <v>0</v>
      </c>
      <c r="K39" s="531">
        <v>0</v>
      </c>
      <c r="L39" s="696">
        <v>0</v>
      </c>
      <c r="M39" s="531">
        <v>1</v>
      </c>
      <c r="N39" s="531">
        <v>0</v>
      </c>
      <c r="O39" s="531"/>
      <c r="P39" s="531"/>
      <c r="Q39" s="531"/>
      <c r="R39" s="531"/>
      <c r="S39" s="512"/>
      <c r="T39" s="532"/>
    </row>
    <row r="40" spans="1:20" ht="15" customHeight="1" x14ac:dyDescent="0.25">
      <c r="A40" s="516"/>
      <c r="B40" s="762" t="s">
        <v>114</v>
      </c>
      <c r="C40" s="750" t="s">
        <v>392</v>
      </c>
      <c r="E40" s="719">
        <v>0</v>
      </c>
      <c r="F40" s="720">
        <v>216</v>
      </c>
      <c r="G40" s="723">
        <f t="shared" si="2"/>
        <v>8</v>
      </c>
      <c r="H40" s="723">
        <f t="shared" si="2"/>
        <v>7</v>
      </c>
      <c r="I40" s="859">
        <v>1</v>
      </c>
      <c r="J40" s="531">
        <v>1</v>
      </c>
      <c r="K40" s="531">
        <v>5</v>
      </c>
      <c r="L40" s="696">
        <v>1</v>
      </c>
      <c r="M40" s="531">
        <v>0</v>
      </c>
      <c r="N40" s="531">
        <v>0</v>
      </c>
      <c r="O40" s="531"/>
      <c r="P40" s="531"/>
      <c r="Q40" s="531"/>
      <c r="R40" s="531"/>
      <c r="S40" s="512"/>
      <c r="T40" s="532"/>
    </row>
    <row r="41" spans="1:20" ht="15" customHeight="1" x14ac:dyDescent="0.25">
      <c r="A41" s="516"/>
      <c r="B41" s="762" t="s">
        <v>115</v>
      </c>
      <c r="C41" s="750" t="s">
        <v>392</v>
      </c>
      <c r="E41" s="719">
        <v>0</v>
      </c>
      <c r="F41" s="720">
        <v>217</v>
      </c>
      <c r="G41" s="723">
        <f t="shared" si="2"/>
        <v>28</v>
      </c>
      <c r="H41" s="723">
        <f t="shared" si="2"/>
        <v>25</v>
      </c>
      <c r="I41" s="859">
        <v>3</v>
      </c>
      <c r="J41" s="531">
        <v>14</v>
      </c>
      <c r="K41" s="531">
        <v>2</v>
      </c>
      <c r="L41" s="696">
        <v>5</v>
      </c>
      <c r="M41" s="531">
        <v>2</v>
      </c>
      <c r="N41" s="531">
        <v>2</v>
      </c>
      <c r="O41" s="531"/>
      <c r="P41" s="531"/>
      <c r="Q41" s="531"/>
      <c r="R41" s="531"/>
      <c r="S41" s="512"/>
      <c r="T41" s="532"/>
    </row>
    <row r="42" spans="1:20" ht="15" customHeight="1" x14ac:dyDescent="0.25">
      <c r="A42" s="516"/>
      <c r="B42" s="762" t="s">
        <v>290</v>
      </c>
      <c r="C42" s="750" t="s">
        <v>392</v>
      </c>
      <c r="E42" s="719">
        <v>0</v>
      </c>
      <c r="F42" s="720">
        <v>218</v>
      </c>
      <c r="G42" s="723">
        <f t="shared" si="2"/>
        <v>7</v>
      </c>
      <c r="H42" s="723">
        <f t="shared" si="2"/>
        <v>5</v>
      </c>
      <c r="I42" s="859">
        <v>2</v>
      </c>
      <c r="J42" s="531">
        <v>1</v>
      </c>
      <c r="K42" s="531">
        <v>2</v>
      </c>
      <c r="L42" s="696">
        <v>0</v>
      </c>
      <c r="M42" s="531">
        <v>1</v>
      </c>
      <c r="N42" s="531">
        <v>1</v>
      </c>
      <c r="O42" s="531"/>
      <c r="P42" s="531"/>
      <c r="Q42" s="531"/>
      <c r="R42" s="531"/>
      <c r="S42" s="512"/>
      <c r="T42" s="532"/>
    </row>
    <row r="43" spans="1:20" ht="15" customHeight="1" x14ac:dyDescent="0.25">
      <c r="A43" s="516"/>
      <c r="B43" s="761" t="s">
        <v>281</v>
      </c>
      <c r="C43" s="750" t="s">
        <v>392</v>
      </c>
      <c r="D43" s="877"/>
      <c r="E43" s="721">
        <v>0</v>
      </c>
      <c r="F43" s="720">
        <v>219</v>
      </c>
      <c r="G43" s="723">
        <f t="shared" si="2"/>
        <v>0</v>
      </c>
      <c r="H43" s="723">
        <f t="shared" si="2"/>
        <v>0</v>
      </c>
      <c r="I43" s="860">
        <v>0</v>
      </c>
      <c r="J43" s="669">
        <v>0</v>
      </c>
      <c r="K43" s="669">
        <v>0</v>
      </c>
      <c r="L43" s="696">
        <v>0</v>
      </c>
      <c r="M43" s="669">
        <v>0</v>
      </c>
      <c r="N43" s="669">
        <v>0</v>
      </c>
      <c r="O43" s="669"/>
      <c r="P43" s="669"/>
      <c r="Q43" s="669"/>
      <c r="R43" s="669"/>
      <c r="S43" s="512"/>
      <c r="T43" s="560"/>
    </row>
    <row r="44" spans="1:20" s="655" customFormat="1" ht="15.95" customHeight="1" x14ac:dyDescent="0.25">
      <c r="A44" s="654"/>
      <c r="B44" s="1051" t="s">
        <v>292</v>
      </c>
      <c r="C44" s="1052"/>
      <c r="D44" s="1052"/>
      <c r="E44" s="1052"/>
      <c r="F44" s="1052"/>
      <c r="G44" s="1052"/>
      <c r="H44" s="1052"/>
      <c r="I44" s="1052"/>
      <c r="J44" s="1052"/>
      <c r="K44" s="1052"/>
      <c r="L44" s="1052"/>
      <c r="M44" s="1052"/>
      <c r="N44" s="1052"/>
      <c r="O44" s="1052"/>
      <c r="P44" s="1052"/>
      <c r="Q44" s="1052"/>
      <c r="R44" s="1052"/>
      <c r="S44" s="1052"/>
      <c r="T44" s="1053"/>
    </row>
    <row r="45" spans="1:20" ht="15" customHeight="1" x14ac:dyDescent="0.25">
      <c r="A45" s="516"/>
      <c r="B45" s="509" t="s">
        <v>291</v>
      </c>
      <c r="C45" s="902"/>
      <c r="D45" s="871"/>
      <c r="E45" s="529">
        <v>5</v>
      </c>
      <c r="F45" s="529">
        <v>5</v>
      </c>
      <c r="G45" s="653">
        <v>10</v>
      </c>
      <c r="H45" s="1017">
        <f t="shared" ref="H45:H47" si="3">SUM(J45:U45)</f>
        <v>14</v>
      </c>
      <c r="I45" s="859">
        <v>2</v>
      </c>
      <c r="J45" s="531">
        <v>8</v>
      </c>
      <c r="K45" s="531">
        <v>0</v>
      </c>
      <c r="L45" s="696">
        <v>3</v>
      </c>
      <c r="M45" s="696">
        <v>1</v>
      </c>
      <c r="N45" s="531">
        <v>2</v>
      </c>
      <c r="O45" s="531"/>
      <c r="P45" s="531"/>
      <c r="Q45" s="531"/>
      <c r="R45" s="531"/>
      <c r="S45" s="531"/>
      <c r="T45" s="532"/>
    </row>
    <row r="46" spans="1:20" ht="15" customHeight="1" x14ac:dyDescent="0.25">
      <c r="A46" s="516"/>
      <c r="B46" s="522" t="s">
        <v>294</v>
      </c>
      <c r="C46" s="904"/>
      <c r="D46" s="873"/>
      <c r="E46" s="517">
        <v>19</v>
      </c>
      <c r="F46" s="517">
        <v>13</v>
      </c>
      <c r="G46" s="653">
        <v>20</v>
      </c>
      <c r="H46" s="1017">
        <f t="shared" si="3"/>
        <v>11</v>
      </c>
      <c r="I46" s="859">
        <v>1</v>
      </c>
      <c r="J46" s="531">
        <v>6</v>
      </c>
      <c r="K46" s="531">
        <v>2</v>
      </c>
      <c r="L46" s="696">
        <v>2</v>
      </c>
      <c r="M46" s="531">
        <v>1</v>
      </c>
      <c r="N46" s="531">
        <v>0</v>
      </c>
      <c r="O46" s="531"/>
      <c r="P46" s="531"/>
      <c r="Q46" s="531"/>
      <c r="R46" s="531"/>
      <c r="S46" s="531"/>
      <c r="T46" s="532"/>
    </row>
    <row r="47" spans="1:20" ht="15" customHeight="1" x14ac:dyDescent="0.25">
      <c r="A47" s="516"/>
      <c r="B47" s="522" t="s">
        <v>419</v>
      </c>
      <c r="C47" s="903"/>
      <c r="D47" s="872"/>
      <c r="E47" s="530">
        <v>14</v>
      </c>
      <c r="F47" s="530">
        <v>25</v>
      </c>
      <c r="G47" s="653">
        <v>25</v>
      </c>
      <c r="H47" s="1017">
        <f t="shared" si="3"/>
        <v>2</v>
      </c>
      <c r="I47" s="859">
        <v>0</v>
      </c>
      <c r="J47" s="531">
        <v>1</v>
      </c>
      <c r="K47" s="531">
        <v>0</v>
      </c>
      <c r="L47" s="696">
        <v>0</v>
      </c>
      <c r="M47" s="531">
        <v>0</v>
      </c>
      <c r="N47" s="531">
        <v>1</v>
      </c>
      <c r="O47" s="531"/>
      <c r="P47" s="531"/>
      <c r="Q47" s="531"/>
      <c r="R47" s="531"/>
      <c r="S47" s="531"/>
      <c r="T47" s="532"/>
    </row>
    <row r="48" spans="1:20" ht="15" hidden="1" customHeight="1" x14ac:dyDescent="0.25">
      <c r="A48" s="516"/>
      <c r="B48" s="522" t="s">
        <v>29</v>
      </c>
      <c r="C48" s="750"/>
      <c r="E48" s="1076"/>
      <c r="F48" s="1077"/>
      <c r="G48" s="1078"/>
      <c r="H48" s="1078"/>
      <c r="I48" s="519">
        <v>28</v>
      </c>
      <c r="J48" s="520">
        <v>29</v>
      </c>
      <c r="K48" s="520">
        <v>30</v>
      </c>
      <c r="L48" s="505" t="s">
        <v>136</v>
      </c>
      <c r="M48" s="520">
        <v>36</v>
      </c>
      <c r="N48" s="975">
        <v>36</v>
      </c>
      <c r="O48" s="520">
        <v>38</v>
      </c>
      <c r="P48" s="520">
        <v>30</v>
      </c>
      <c r="Q48" s="520">
        <v>30</v>
      </c>
      <c r="R48" s="520"/>
      <c r="S48" s="520"/>
      <c r="T48" s="532"/>
    </row>
    <row r="49" spans="1:20" ht="15" hidden="1" customHeight="1" x14ac:dyDescent="0.25">
      <c r="A49" s="516"/>
      <c r="B49" s="522" t="s">
        <v>30</v>
      </c>
      <c r="C49" s="750"/>
      <c r="E49" s="1076"/>
      <c r="F49" s="1077"/>
      <c r="G49" s="1078"/>
      <c r="H49" s="1078"/>
      <c r="I49" s="533">
        <v>23</v>
      </c>
      <c r="J49" s="533">
        <v>29</v>
      </c>
      <c r="K49" s="533">
        <v>21</v>
      </c>
      <c r="L49" s="505" t="s">
        <v>136</v>
      </c>
      <c r="M49" s="505" t="s">
        <v>136</v>
      </c>
      <c r="N49" s="976" t="s">
        <v>136</v>
      </c>
      <c r="O49" s="505" t="s">
        <v>136</v>
      </c>
      <c r="P49" s="505" t="s">
        <v>136</v>
      </c>
      <c r="Q49" s="533"/>
      <c r="R49" s="533"/>
      <c r="S49" s="520"/>
      <c r="T49" s="532"/>
    </row>
    <row r="50" spans="1:20" ht="15" hidden="1" customHeight="1" x14ac:dyDescent="0.25">
      <c r="A50" s="516"/>
      <c r="B50" s="522" t="s">
        <v>36</v>
      </c>
      <c r="C50" s="902"/>
      <c r="D50" s="871"/>
      <c r="E50" s="788">
        <v>52</v>
      </c>
      <c r="F50" s="789">
        <v>70</v>
      </c>
      <c r="G50" s="529">
        <f>SUM(I50:T50)</f>
        <v>12</v>
      </c>
      <c r="H50" s="529">
        <f>SUM(J50:U50)</f>
        <v>6</v>
      </c>
      <c r="I50" s="519">
        <v>6</v>
      </c>
      <c r="J50" s="520">
        <v>6</v>
      </c>
      <c r="K50" s="505" t="s">
        <v>136</v>
      </c>
      <c r="L50" s="505" t="s">
        <v>136</v>
      </c>
      <c r="M50" s="505" t="s">
        <v>136</v>
      </c>
      <c r="N50" s="976" t="s">
        <v>136</v>
      </c>
      <c r="O50" s="505" t="s">
        <v>136</v>
      </c>
      <c r="P50" s="520">
        <v>0</v>
      </c>
      <c r="Q50" s="520">
        <v>0</v>
      </c>
      <c r="R50" s="520"/>
      <c r="S50" s="520"/>
      <c r="T50" s="521"/>
    </row>
    <row r="51" spans="1:20" ht="15" hidden="1" customHeight="1" x14ac:dyDescent="0.25">
      <c r="A51" s="516"/>
      <c r="B51" s="514" t="s">
        <v>35</v>
      </c>
      <c r="C51" s="903"/>
      <c r="D51" s="872"/>
      <c r="E51" s="790">
        <v>269</v>
      </c>
      <c r="F51" s="791">
        <v>300</v>
      </c>
      <c r="G51" s="530">
        <f>SUM(I51:T51)</f>
        <v>250</v>
      </c>
      <c r="H51" s="530">
        <f>SUM(J51:U51)</f>
        <v>217</v>
      </c>
      <c r="I51" s="524">
        <v>33</v>
      </c>
      <c r="J51" s="525">
        <v>22</v>
      </c>
      <c r="K51" s="533">
        <v>17</v>
      </c>
      <c r="L51" s="533">
        <v>23</v>
      </c>
      <c r="M51" s="533">
        <v>23</v>
      </c>
      <c r="N51" s="977">
        <v>32</v>
      </c>
      <c r="O51" s="525">
        <v>30</v>
      </c>
      <c r="P51" s="525">
        <v>34</v>
      </c>
      <c r="Q51" s="525">
        <v>36</v>
      </c>
      <c r="R51" s="525"/>
      <c r="S51" s="525"/>
      <c r="T51" s="526"/>
    </row>
    <row r="52" spans="1:20" s="655" customFormat="1" ht="15.95" customHeight="1" x14ac:dyDescent="0.25">
      <c r="A52" s="654"/>
      <c r="B52" s="1079" t="s">
        <v>382</v>
      </c>
      <c r="C52" s="1080"/>
      <c r="D52" s="1080"/>
      <c r="E52" s="1080"/>
      <c r="F52" s="1080"/>
      <c r="G52" s="1080"/>
      <c r="H52" s="1080"/>
      <c r="I52" s="1080"/>
      <c r="J52" s="1080"/>
      <c r="K52" s="1080"/>
      <c r="L52" s="1080"/>
      <c r="M52" s="1080"/>
      <c r="N52" s="1080"/>
      <c r="O52" s="1080"/>
      <c r="P52" s="1080"/>
      <c r="Q52" s="1080"/>
      <c r="R52" s="1080"/>
      <c r="S52" s="1080"/>
      <c r="T52" s="1081"/>
    </row>
    <row r="53" spans="1:20" ht="15" customHeight="1" x14ac:dyDescent="0.25">
      <c r="A53" s="516"/>
      <c r="B53" s="509" t="s">
        <v>296</v>
      </c>
      <c r="C53" s="750"/>
      <c r="E53" s="724">
        <v>0</v>
      </c>
      <c r="F53" s="725">
        <v>988</v>
      </c>
      <c r="G53" s="722">
        <f t="shared" ref="G53:H56" si="4">SUM(I53:T53)</f>
        <v>406</v>
      </c>
      <c r="H53" s="722">
        <f t="shared" si="4"/>
        <v>336</v>
      </c>
      <c r="I53" s="861">
        <v>70</v>
      </c>
      <c r="J53" s="670">
        <v>65</v>
      </c>
      <c r="K53" s="670">
        <v>72</v>
      </c>
      <c r="L53" s="861">
        <v>69</v>
      </c>
      <c r="M53" s="861">
        <v>65</v>
      </c>
      <c r="N53" s="670">
        <v>65</v>
      </c>
      <c r="O53" s="670"/>
      <c r="P53" s="670"/>
      <c r="Q53" s="670"/>
      <c r="R53" s="670"/>
      <c r="S53" s="670"/>
      <c r="T53" s="671"/>
    </row>
    <row r="54" spans="1:20" ht="15" customHeight="1" x14ac:dyDescent="0.25">
      <c r="A54" s="516"/>
      <c r="B54" s="762" t="s">
        <v>297</v>
      </c>
      <c r="C54" s="907"/>
      <c r="E54" s="724">
        <v>0</v>
      </c>
      <c r="F54" s="725">
        <v>27</v>
      </c>
      <c r="G54" s="723">
        <f t="shared" si="4"/>
        <v>9</v>
      </c>
      <c r="H54" s="723">
        <f t="shared" si="4"/>
        <v>9</v>
      </c>
      <c r="I54" s="812">
        <v>0</v>
      </c>
      <c r="J54" s="525">
        <v>3</v>
      </c>
      <c r="K54" s="525">
        <v>3</v>
      </c>
      <c r="L54" s="812">
        <v>1</v>
      </c>
      <c r="M54" s="525">
        <v>0</v>
      </c>
      <c r="N54" s="525">
        <v>2</v>
      </c>
      <c r="O54" s="525"/>
      <c r="P54" s="525"/>
      <c r="Q54" s="525"/>
      <c r="R54" s="525"/>
      <c r="S54" s="670"/>
      <c r="T54" s="670"/>
    </row>
    <row r="55" spans="1:20" ht="15" customHeight="1" x14ac:dyDescent="0.25">
      <c r="A55" s="516"/>
      <c r="B55" s="762" t="s">
        <v>298</v>
      </c>
      <c r="C55" s="907"/>
      <c r="E55" s="724">
        <v>0</v>
      </c>
      <c r="F55" s="725">
        <v>21</v>
      </c>
      <c r="G55" s="723">
        <f t="shared" si="4"/>
        <v>11</v>
      </c>
      <c r="H55" s="723">
        <f t="shared" si="4"/>
        <v>8</v>
      </c>
      <c r="I55" s="812">
        <v>3</v>
      </c>
      <c r="J55" s="525">
        <v>0</v>
      </c>
      <c r="K55" s="525">
        <v>1</v>
      </c>
      <c r="L55" s="812">
        <v>3</v>
      </c>
      <c r="M55" s="525">
        <v>3</v>
      </c>
      <c r="N55" s="525">
        <v>1</v>
      </c>
      <c r="O55" s="525"/>
      <c r="P55" s="525"/>
      <c r="Q55" s="525"/>
      <c r="R55" s="525"/>
      <c r="S55" s="670"/>
      <c r="T55" s="670"/>
    </row>
    <row r="56" spans="1:20" ht="15" customHeight="1" x14ac:dyDescent="0.25">
      <c r="A56" s="516"/>
      <c r="B56" s="534" t="s">
        <v>299</v>
      </c>
      <c r="E56" s="724">
        <v>0</v>
      </c>
      <c r="F56" s="725">
        <v>195</v>
      </c>
      <c r="G56" s="723">
        <f t="shared" si="4"/>
        <v>115</v>
      </c>
      <c r="H56" s="723">
        <f t="shared" si="4"/>
        <v>105</v>
      </c>
      <c r="I56" s="812">
        <v>10</v>
      </c>
      <c r="J56" s="525">
        <v>20</v>
      </c>
      <c r="K56" s="525">
        <v>15</v>
      </c>
      <c r="L56" s="812">
        <v>23</v>
      </c>
      <c r="M56" s="525">
        <v>26</v>
      </c>
      <c r="N56" s="525">
        <v>21</v>
      </c>
      <c r="O56" s="525"/>
      <c r="P56" s="525"/>
      <c r="Q56" s="525"/>
      <c r="R56" s="525"/>
      <c r="S56" s="670"/>
      <c r="T56" s="526"/>
    </row>
    <row r="57" spans="1:20" s="655" customFormat="1" ht="15.95" customHeight="1" x14ac:dyDescent="0.25">
      <c r="A57" s="654"/>
      <c r="B57" s="1051" t="s">
        <v>428</v>
      </c>
      <c r="C57" s="1052"/>
      <c r="D57" s="1052"/>
      <c r="E57" s="1052"/>
      <c r="F57" s="1052"/>
      <c r="G57" s="1052"/>
      <c r="H57" s="1052"/>
      <c r="I57" s="1052"/>
      <c r="J57" s="1052"/>
      <c r="K57" s="1052"/>
      <c r="L57" s="1052"/>
      <c r="M57" s="1052"/>
      <c r="N57" s="1052"/>
      <c r="O57" s="1052"/>
      <c r="P57" s="1052"/>
      <c r="Q57" s="1052"/>
      <c r="R57" s="1052"/>
      <c r="S57" s="1052"/>
      <c r="T57" s="1053"/>
    </row>
    <row r="58" spans="1:20" ht="15" customHeight="1" x14ac:dyDescent="0.25">
      <c r="A58" s="516"/>
      <c r="B58" s="536" t="s">
        <v>416</v>
      </c>
      <c r="C58" s="909"/>
      <c r="D58" s="871"/>
      <c r="E58" s="667">
        <v>388</v>
      </c>
      <c r="F58" s="510">
        <v>374</v>
      </c>
      <c r="G58" s="961">
        <v>386</v>
      </c>
      <c r="H58" s="1027">
        <f>I58</f>
        <v>265</v>
      </c>
      <c r="I58" s="537">
        <v>265</v>
      </c>
      <c r="J58" s="540" t="s">
        <v>144</v>
      </c>
      <c r="K58" s="696" t="s">
        <v>144</v>
      </c>
      <c r="L58" s="540" t="s">
        <v>144</v>
      </c>
      <c r="M58" s="540" t="s">
        <v>144</v>
      </c>
      <c r="N58" s="540" t="s">
        <v>144</v>
      </c>
      <c r="O58" s="538"/>
      <c r="P58" s="538"/>
      <c r="Q58" s="538"/>
      <c r="R58" s="538"/>
      <c r="S58" s="538"/>
      <c r="T58" s="569"/>
    </row>
    <row r="59" spans="1:20" ht="15" customHeight="1" x14ac:dyDescent="0.25">
      <c r="A59" s="516"/>
      <c r="B59" s="762" t="s">
        <v>417</v>
      </c>
      <c r="C59" s="910"/>
      <c r="D59" s="873"/>
      <c r="E59" s="667">
        <v>755</v>
      </c>
      <c r="F59" s="523">
        <v>768</v>
      </c>
      <c r="G59" s="961">
        <v>800</v>
      </c>
      <c r="H59" s="1027">
        <f>I59</f>
        <v>531</v>
      </c>
      <c r="I59" s="540">
        <v>531</v>
      </c>
      <c r="J59" s="540" t="s">
        <v>144</v>
      </c>
      <c r="K59" s="696" t="s">
        <v>144</v>
      </c>
      <c r="L59" s="540" t="s">
        <v>144</v>
      </c>
      <c r="M59" s="540" t="s">
        <v>144</v>
      </c>
      <c r="N59" s="540" t="s">
        <v>144</v>
      </c>
      <c r="O59" s="538"/>
      <c r="P59" s="538"/>
      <c r="Q59" s="538"/>
      <c r="R59" s="538"/>
      <c r="S59" s="541"/>
      <c r="T59" s="539"/>
    </row>
    <row r="60" spans="1:20" ht="15" customHeight="1" x14ac:dyDescent="0.25">
      <c r="A60" s="516"/>
      <c r="B60" s="534" t="s">
        <v>410</v>
      </c>
      <c r="C60" s="911"/>
      <c r="D60" s="873"/>
      <c r="E60" s="667">
        <v>1600</v>
      </c>
      <c r="F60" s="523">
        <v>1484</v>
      </c>
      <c r="G60" s="961">
        <v>723</v>
      </c>
      <c r="H60" s="1027">
        <f>M60</f>
        <v>503</v>
      </c>
      <c r="I60" s="540" t="s">
        <v>144</v>
      </c>
      <c r="J60" s="540">
        <v>12</v>
      </c>
      <c r="K60" s="538">
        <v>12</v>
      </c>
      <c r="L60" s="853">
        <v>331</v>
      </c>
      <c r="M60" s="537">
        <v>503</v>
      </c>
      <c r="N60" s="540" t="s">
        <v>144</v>
      </c>
      <c r="O60" s="538"/>
      <c r="P60" s="538"/>
      <c r="Q60" s="538"/>
      <c r="R60" s="538"/>
      <c r="S60" s="538"/>
      <c r="T60" s="538"/>
    </row>
    <row r="61" spans="1:20" ht="15" customHeight="1" x14ac:dyDescent="0.25">
      <c r="A61" s="516"/>
      <c r="B61" s="762" t="s">
        <v>411</v>
      </c>
      <c r="C61" s="910"/>
      <c r="D61" s="873"/>
      <c r="E61" s="667">
        <v>3154</v>
      </c>
      <c r="F61" s="523">
        <v>3878</v>
      </c>
      <c r="G61" s="961">
        <v>1916</v>
      </c>
      <c r="H61" s="1027">
        <f>M61</f>
        <v>1435</v>
      </c>
      <c r="I61" s="540" t="s">
        <v>144</v>
      </c>
      <c r="J61" s="540">
        <v>23</v>
      </c>
      <c r="K61" s="538">
        <v>28</v>
      </c>
      <c r="L61" s="853">
        <v>508</v>
      </c>
      <c r="M61" s="537">
        <v>1435</v>
      </c>
      <c r="N61" s="540" t="s">
        <v>144</v>
      </c>
      <c r="O61" s="538"/>
      <c r="P61" s="538"/>
      <c r="Q61" s="538"/>
      <c r="R61" s="538"/>
      <c r="S61" s="538"/>
      <c r="T61" s="538"/>
    </row>
    <row r="62" spans="1:20" ht="15" customHeight="1" x14ac:dyDescent="0.25">
      <c r="A62" s="516"/>
      <c r="B62" s="534" t="s">
        <v>412</v>
      </c>
      <c r="C62" s="911"/>
      <c r="D62" s="873"/>
      <c r="E62" s="667">
        <v>2617</v>
      </c>
      <c r="F62" s="523">
        <v>2893</v>
      </c>
      <c r="G62" s="961">
        <v>3013</v>
      </c>
      <c r="H62" s="1027">
        <f>M62</f>
        <v>842</v>
      </c>
      <c r="I62" s="540" t="s">
        <v>144</v>
      </c>
      <c r="J62" s="540">
        <v>27</v>
      </c>
      <c r="K62" s="538">
        <v>26</v>
      </c>
      <c r="L62" s="853">
        <v>29</v>
      </c>
      <c r="M62" s="696">
        <v>842</v>
      </c>
      <c r="N62" s="538">
        <v>846</v>
      </c>
      <c r="O62" s="538"/>
      <c r="P62" s="538"/>
      <c r="Q62" s="538"/>
      <c r="R62" s="538"/>
      <c r="S62" s="538"/>
      <c r="T62" s="538"/>
    </row>
    <row r="63" spans="1:20" ht="15" customHeight="1" x14ac:dyDescent="0.25">
      <c r="A63" s="516"/>
      <c r="B63" s="761" t="s">
        <v>409</v>
      </c>
      <c r="C63" s="906"/>
      <c r="D63" s="872"/>
      <c r="E63" s="667">
        <v>4752</v>
      </c>
      <c r="F63" s="515">
        <v>6632</v>
      </c>
      <c r="G63" s="961">
        <v>7146</v>
      </c>
      <c r="H63" s="1027">
        <f>M63</f>
        <v>2105</v>
      </c>
      <c r="I63" s="540" t="s">
        <v>144</v>
      </c>
      <c r="J63" s="540">
        <v>50</v>
      </c>
      <c r="K63" s="538">
        <v>59</v>
      </c>
      <c r="L63" s="854">
        <v>65</v>
      </c>
      <c r="M63" s="541">
        <v>2105</v>
      </c>
      <c r="N63" s="538">
        <v>2212</v>
      </c>
      <c r="O63" s="538"/>
      <c r="P63" s="538"/>
      <c r="Q63" s="538"/>
      <c r="R63" s="538"/>
      <c r="S63" s="538"/>
      <c r="T63" s="538"/>
    </row>
    <row r="64" spans="1:20" s="655" customFormat="1" ht="15.95" customHeight="1" x14ac:dyDescent="0.25">
      <c r="A64" s="654"/>
      <c r="B64" s="1051" t="s">
        <v>240</v>
      </c>
      <c r="C64" s="1052"/>
      <c r="D64" s="1052"/>
      <c r="E64" s="1052"/>
      <c r="F64" s="1052"/>
      <c r="G64" s="1052"/>
      <c r="H64" s="1052"/>
      <c r="I64" s="1052"/>
      <c r="J64" s="1052"/>
      <c r="K64" s="1052"/>
      <c r="L64" s="1052"/>
      <c r="M64" s="1052"/>
      <c r="N64" s="1052"/>
      <c r="O64" s="1052"/>
      <c r="P64" s="1052"/>
      <c r="Q64" s="1052"/>
      <c r="R64" s="1052"/>
      <c r="S64" s="1052"/>
      <c r="T64" s="1053"/>
    </row>
    <row r="65" spans="1:21" ht="15" customHeight="1" x14ac:dyDescent="0.25">
      <c r="A65" s="516"/>
      <c r="B65" s="509" t="s">
        <v>304</v>
      </c>
      <c r="C65" s="750"/>
      <c r="E65" s="934">
        <v>2738194.7</v>
      </c>
      <c r="F65" s="544">
        <v>2602313.4900000002</v>
      </c>
      <c r="G65" s="1014">
        <v>3120996.8400000003</v>
      </c>
      <c r="H65" s="544">
        <f>SUM(I65:U65)</f>
        <v>1545206.89</v>
      </c>
      <c r="I65" s="545">
        <v>288680.81</v>
      </c>
      <c r="J65" s="554">
        <v>290693.3</v>
      </c>
      <c r="K65" s="554">
        <v>242314.7</v>
      </c>
      <c r="L65" s="855">
        <v>227669.67</v>
      </c>
      <c r="M65" s="554">
        <v>244256.95</v>
      </c>
      <c r="N65" s="554">
        <v>251591.46</v>
      </c>
      <c r="O65" s="554"/>
      <c r="P65" s="554"/>
      <c r="Q65" s="554"/>
      <c r="R65" s="956"/>
      <c r="S65" s="958"/>
      <c r="T65" s="957"/>
    </row>
    <row r="66" spans="1:21" ht="15" customHeight="1" x14ac:dyDescent="0.25">
      <c r="A66" s="516"/>
      <c r="B66" s="522" t="s">
        <v>305</v>
      </c>
      <c r="C66" s="750"/>
      <c r="E66" s="934">
        <v>27598.720000000005</v>
      </c>
      <c r="F66" s="544">
        <v>26937.960000000003</v>
      </c>
      <c r="G66" s="1014">
        <v>0</v>
      </c>
      <c r="H66" s="544">
        <f t="shared" ref="H66:H75" si="5">SUM(I66:U66)</f>
        <v>0</v>
      </c>
      <c r="I66" s="545">
        <v>0</v>
      </c>
      <c r="J66" s="545">
        <v>0</v>
      </c>
      <c r="K66" s="554">
        <v>0</v>
      </c>
      <c r="L66" s="554">
        <v>0</v>
      </c>
      <c r="M66" s="554">
        <v>0</v>
      </c>
      <c r="N66" s="554">
        <v>0</v>
      </c>
      <c r="O66" s="554"/>
      <c r="P66" s="554"/>
      <c r="Q66" s="554"/>
      <c r="R66" s="554"/>
    </row>
    <row r="67" spans="1:21" ht="15" customHeight="1" x14ac:dyDescent="0.25">
      <c r="A67" s="516"/>
      <c r="B67" s="522" t="s">
        <v>243</v>
      </c>
      <c r="C67" s="750"/>
      <c r="E67" s="934">
        <v>101712.98000000001</v>
      </c>
      <c r="F67" s="544">
        <v>118663.80000000002</v>
      </c>
      <c r="G67" s="1014">
        <v>93891.540000000008</v>
      </c>
      <c r="H67" s="544">
        <f t="shared" si="5"/>
        <v>39868.840000000004</v>
      </c>
      <c r="I67" s="545">
        <f>10080+10370</f>
        <v>20450</v>
      </c>
      <c r="J67" s="554">
        <v>1450</v>
      </c>
      <c r="K67" s="923">
        <v>1080.08</v>
      </c>
      <c r="L67" s="855">
        <f>5958.76+9210</f>
        <v>15168.76</v>
      </c>
      <c r="M67" s="554">
        <v>850</v>
      </c>
      <c r="N67" s="554">
        <v>870</v>
      </c>
      <c r="O67" s="554"/>
      <c r="P67" s="554"/>
      <c r="Q67" s="554"/>
      <c r="R67" s="956"/>
      <c r="S67" s="958"/>
      <c r="T67" s="923"/>
    </row>
    <row r="68" spans="1:21" ht="15" customHeight="1" x14ac:dyDescent="0.25">
      <c r="A68" s="516"/>
      <c r="B68" s="514" t="s">
        <v>244</v>
      </c>
      <c r="C68" s="750"/>
      <c r="E68" s="934">
        <v>39218.49</v>
      </c>
      <c r="F68" s="544">
        <v>19580.650000000001</v>
      </c>
      <c r="G68" s="1014">
        <v>40500.03</v>
      </c>
      <c r="H68" s="544">
        <f t="shared" si="5"/>
        <v>11454.35</v>
      </c>
      <c r="I68" s="923">
        <v>2717</v>
      </c>
      <c r="J68" s="554">
        <v>50</v>
      </c>
      <c r="K68" s="554">
        <f>1149+620</f>
        <v>1769</v>
      </c>
      <c r="L68" s="696">
        <f>683+180</f>
        <v>863</v>
      </c>
      <c r="M68" s="554">
        <v>977.5</v>
      </c>
      <c r="N68" s="923">
        <f>4921.5+156.35</f>
        <v>5077.8500000000004</v>
      </c>
      <c r="P68" s="554"/>
      <c r="Q68" s="554"/>
      <c r="S68" s="958"/>
      <c r="T68" s="957"/>
    </row>
    <row r="69" spans="1:21" ht="15" customHeight="1" x14ac:dyDescent="0.25">
      <c r="A69" s="516"/>
      <c r="B69" s="509" t="s">
        <v>245</v>
      </c>
      <c r="C69" s="750"/>
      <c r="E69" s="934">
        <v>105088.07</v>
      </c>
      <c r="F69" s="544">
        <v>145806.03000000003</v>
      </c>
      <c r="G69" s="1014">
        <v>214106.31</v>
      </c>
      <c r="H69" s="544">
        <f t="shared" si="5"/>
        <v>144533.76999999999</v>
      </c>
      <c r="I69" s="545">
        <f>29041.98+152.61</f>
        <v>29194.59</v>
      </c>
      <c r="J69" s="554">
        <f>6659.93+14765+82.8+87.4</f>
        <v>21595.13</v>
      </c>
      <c r="K69" s="554">
        <f>37515.7+683.17</f>
        <v>38198.869999999995</v>
      </c>
      <c r="L69" s="855">
        <f>75+47925.59+40</f>
        <v>48040.59</v>
      </c>
      <c r="M69" s="554">
        <v>5613.16</v>
      </c>
      <c r="N69" s="554">
        <v>1891.43</v>
      </c>
      <c r="P69" s="554"/>
      <c r="Q69" s="554"/>
      <c r="R69" s="956"/>
      <c r="S69" s="958"/>
      <c r="T69" s="957"/>
    </row>
    <row r="70" spans="1:21" ht="15" customHeight="1" x14ac:dyDescent="0.25">
      <c r="A70" s="516"/>
      <c r="B70" s="522" t="s">
        <v>306</v>
      </c>
      <c r="C70" s="750"/>
      <c r="E70" s="934">
        <v>41296.51</v>
      </c>
      <c r="F70" s="544">
        <v>11808.15</v>
      </c>
      <c r="G70" s="1014">
        <v>63008.239999999991</v>
      </c>
      <c r="H70" s="544">
        <f t="shared" si="5"/>
        <v>25555.88</v>
      </c>
      <c r="I70" s="545">
        <v>7128</v>
      </c>
      <c r="J70" s="554">
        <v>1998.64</v>
      </c>
      <c r="K70" s="554">
        <v>1105</v>
      </c>
      <c r="L70" s="855">
        <v>13096.27</v>
      </c>
      <c r="M70" s="696">
        <v>1923.17</v>
      </c>
      <c r="N70" s="554">
        <v>304.8</v>
      </c>
      <c r="O70" s="554"/>
      <c r="P70" s="554"/>
      <c r="Q70" s="554"/>
      <c r="R70" s="956"/>
      <c r="S70" s="923"/>
      <c r="T70" s="957"/>
    </row>
    <row r="71" spans="1:21" ht="15" customHeight="1" x14ac:dyDescent="0.25">
      <c r="A71" s="516"/>
      <c r="B71" s="522" t="s">
        <v>307</v>
      </c>
      <c r="C71" s="750"/>
      <c r="E71" s="934">
        <v>12821.310000000001</v>
      </c>
      <c r="F71" s="544">
        <v>82654.910000000018</v>
      </c>
      <c r="G71" s="1014">
        <v>26788.06</v>
      </c>
      <c r="H71" s="544">
        <f t="shared" si="5"/>
        <v>10595.600000000002</v>
      </c>
      <c r="I71" s="545">
        <v>7162.21</v>
      </c>
      <c r="J71" s="696">
        <v>296.5</v>
      </c>
      <c r="K71" s="554">
        <v>204.35</v>
      </c>
      <c r="L71" s="855">
        <v>600</v>
      </c>
      <c r="M71" s="554">
        <v>980.54</v>
      </c>
      <c r="N71" s="554">
        <v>1352</v>
      </c>
      <c r="O71" s="554"/>
      <c r="P71" s="554"/>
      <c r="Q71" s="554"/>
      <c r="R71" s="956"/>
      <c r="S71" s="958"/>
      <c r="T71" s="957"/>
    </row>
    <row r="72" spans="1:21" ht="15" customHeight="1" x14ac:dyDescent="0.25">
      <c r="A72" s="516"/>
      <c r="B72" s="534" t="s">
        <v>308</v>
      </c>
      <c r="D72" s="878"/>
      <c r="E72" s="934">
        <v>1244</v>
      </c>
      <c r="F72" s="544">
        <v>1810</v>
      </c>
      <c r="G72" s="1014">
        <v>19313</v>
      </c>
      <c r="H72" s="544">
        <f t="shared" si="5"/>
        <v>12183</v>
      </c>
      <c r="I72" s="545">
        <v>0</v>
      </c>
      <c r="J72" s="545">
        <v>0</v>
      </c>
      <c r="K72" s="545">
        <v>0</v>
      </c>
      <c r="L72" s="545">
        <v>0</v>
      </c>
      <c r="M72" s="545">
        <v>12183</v>
      </c>
      <c r="N72" s="545">
        <v>0</v>
      </c>
      <c r="O72" s="554"/>
      <c r="P72" s="554"/>
      <c r="Q72" s="554"/>
      <c r="R72" s="554"/>
      <c r="S72" s="554"/>
      <c r="T72" s="554"/>
    </row>
    <row r="73" spans="1:21" ht="15" hidden="1" customHeight="1" x14ac:dyDescent="0.25">
      <c r="A73" s="516"/>
      <c r="B73" s="534" t="s">
        <v>404</v>
      </c>
      <c r="D73" s="878"/>
      <c r="E73" s="934">
        <v>76144.849999999991</v>
      </c>
      <c r="F73" s="544">
        <v>70</v>
      </c>
      <c r="G73" s="1014">
        <v>0</v>
      </c>
      <c r="H73" s="544">
        <f t="shared" si="5"/>
        <v>0</v>
      </c>
      <c r="I73" s="545"/>
      <c r="J73" s="545"/>
      <c r="K73" s="545"/>
      <c r="L73" s="545"/>
      <c r="M73" s="545"/>
      <c r="N73" s="545"/>
      <c r="O73" s="554"/>
      <c r="P73" s="554"/>
      <c r="Q73" s="554"/>
      <c r="R73" s="554"/>
      <c r="S73" s="554"/>
      <c r="T73" s="554"/>
    </row>
    <row r="74" spans="1:21" ht="15" customHeight="1" x14ac:dyDescent="0.25">
      <c r="A74" s="516"/>
      <c r="B74" s="534" t="s">
        <v>393</v>
      </c>
      <c r="D74" s="878"/>
      <c r="E74" s="934">
        <v>36777.25</v>
      </c>
      <c r="F74" s="544">
        <v>41379.12999999999</v>
      </c>
      <c r="G74" s="1014">
        <v>74726.39</v>
      </c>
      <c r="H74" s="544">
        <f t="shared" si="5"/>
        <v>20396.38</v>
      </c>
      <c r="I74" s="545">
        <v>1104</v>
      </c>
      <c r="J74" s="554">
        <v>2096.92</v>
      </c>
      <c r="K74" s="554">
        <v>3118</v>
      </c>
      <c r="L74" s="855">
        <v>11835.69</v>
      </c>
      <c r="M74" s="554">
        <v>1499.77</v>
      </c>
      <c r="N74" s="554">
        <v>742</v>
      </c>
      <c r="O74" s="554"/>
      <c r="P74" s="554"/>
      <c r="Q74" s="554"/>
      <c r="R74" s="956"/>
      <c r="S74" s="958"/>
      <c r="T74" s="957"/>
    </row>
    <row r="75" spans="1:21" ht="15" customHeight="1" x14ac:dyDescent="0.25">
      <c r="A75" s="516"/>
      <c r="B75" s="534" t="s">
        <v>309</v>
      </c>
      <c r="D75" s="878"/>
      <c r="E75" s="934">
        <v>3106544.58</v>
      </c>
      <c r="F75" s="544">
        <v>2745272.69</v>
      </c>
      <c r="G75" s="1014">
        <f>SUM(G65:G72)</f>
        <v>3578604.02</v>
      </c>
      <c r="H75" s="544">
        <f t="shared" si="5"/>
        <v>1769001.55</v>
      </c>
      <c r="I75" s="545">
        <v>354228.21</v>
      </c>
      <c r="J75" s="554">
        <v>313986.65000000002</v>
      </c>
      <c r="K75" s="554">
        <v>281554</v>
      </c>
      <c r="L75" s="855">
        <v>293602.59999999998</v>
      </c>
      <c r="M75" s="554">
        <v>265284.55</v>
      </c>
      <c r="N75" s="545">
        <v>260345.54</v>
      </c>
      <c r="O75" s="554"/>
      <c r="P75" s="554"/>
      <c r="Q75" s="554"/>
      <c r="R75" s="956"/>
      <c r="S75" s="958"/>
      <c r="T75" s="957"/>
      <c r="U75" s="556"/>
    </row>
    <row r="76" spans="1:21" ht="31.5" customHeight="1" x14ac:dyDescent="0.25">
      <c r="A76" s="516"/>
      <c r="B76" s="535" t="s">
        <v>310</v>
      </c>
      <c r="D76" s="877"/>
      <c r="E76" s="934">
        <v>11078</v>
      </c>
      <c r="F76" s="544">
        <v>1902</v>
      </c>
      <c r="G76" s="1014">
        <v>0</v>
      </c>
      <c r="H76" s="544">
        <f t="shared" ref="H76" si="6">SUM(J76:U76)</f>
        <v>0</v>
      </c>
      <c r="I76" s="545">
        <v>0</v>
      </c>
      <c r="J76" s="545">
        <v>0</v>
      </c>
      <c r="K76" s="545">
        <v>0</v>
      </c>
      <c r="L76" s="545">
        <v>0</v>
      </c>
      <c r="M76" s="545">
        <v>0</v>
      </c>
      <c r="N76" s="923">
        <v>0</v>
      </c>
      <c r="O76" s="545"/>
      <c r="P76" s="545"/>
      <c r="Q76" s="545"/>
      <c r="R76" s="545"/>
      <c r="S76" s="545"/>
      <c r="T76" s="956"/>
    </row>
    <row r="77" spans="1:21" s="655" customFormat="1" ht="15.95" customHeight="1" x14ac:dyDescent="0.25">
      <c r="A77" s="654"/>
      <c r="B77" s="1063" t="s">
        <v>43</v>
      </c>
      <c r="C77" s="1064"/>
      <c r="D77" s="1064"/>
      <c r="E77" s="1064"/>
      <c r="F77" s="1064"/>
      <c r="G77" s="1064"/>
      <c r="H77" s="1064"/>
      <c r="I77" s="1064"/>
      <c r="J77" s="1064"/>
      <c r="K77" s="1064"/>
      <c r="L77" s="1064"/>
      <c r="M77" s="1064"/>
      <c r="N77" s="1064"/>
      <c r="O77" s="1064"/>
      <c r="P77" s="1064"/>
      <c r="Q77" s="1064"/>
      <c r="R77" s="1064"/>
      <c r="S77" s="1064"/>
      <c r="T77" s="1065"/>
    </row>
    <row r="78" spans="1:21" s="655" customFormat="1" ht="15.95" customHeight="1" x14ac:dyDescent="0.25">
      <c r="A78" s="654"/>
      <c r="B78" s="1066" t="s">
        <v>44</v>
      </c>
      <c r="C78" s="1067"/>
      <c r="D78" s="1067"/>
      <c r="E78" s="1067"/>
      <c r="F78" s="1067"/>
      <c r="G78" s="1067"/>
      <c r="H78" s="1067"/>
      <c r="I78" s="1067"/>
      <c r="J78" s="1067"/>
      <c r="K78" s="1067"/>
      <c r="L78" s="1067"/>
      <c r="M78" s="1067"/>
      <c r="N78" s="1067"/>
      <c r="O78" s="1067"/>
      <c r="P78" s="1067"/>
      <c r="Q78" s="1067"/>
      <c r="R78" s="1067"/>
      <c r="S78" s="1067"/>
      <c r="T78" s="1068"/>
    </row>
    <row r="79" spans="1:21" ht="15" customHeight="1" x14ac:dyDescent="0.25">
      <c r="A79" s="516"/>
      <c r="B79" s="536" t="s">
        <v>311</v>
      </c>
      <c r="C79" s="909"/>
      <c r="D79" s="871"/>
      <c r="E79" s="686">
        <v>411</v>
      </c>
      <c r="F79" s="887">
        <v>412</v>
      </c>
      <c r="G79" s="653">
        <v>503</v>
      </c>
      <c r="H79" s="1017">
        <f>SUM(I79:U79)</f>
        <v>473</v>
      </c>
      <c r="I79" s="832">
        <v>68</v>
      </c>
      <c r="J79" s="833">
        <v>82</v>
      </c>
      <c r="K79" s="629">
        <v>84</v>
      </c>
      <c r="L79" s="561">
        <v>87</v>
      </c>
      <c r="M79" s="512">
        <v>78</v>
      </c>
      <c r="N79" s="512">
        <v>74</v>
      </c>
      <c r="O79" s="512"/>
      <c r="P79" s="512"/>
      <c r="Q79" s="512"/>
      <c r="R79" s="512"/>
      <c r="S79" s="512"/>
      <c r="T79" s="513"/>
    </row>
    <row r="80" spans="1:21" ht="15" customHeight="1" x14ac:dyDescent="0.25">
      <c r="A80" s="516"/>
      <c r="B80" s="534" t="s">
        <v>437</v>
      </c>
      <c r="C80" s="911"/>
      <c r="D80" s="873" t="s">
        <v>384</v>
      </c>
      <c r="E80" s="686">
        <v>5</v>
      </c>
      <c r="F80" s="888">
        <v>4.6666666670000003</v>
      </c>
      <c r="G80" s="1035">
        <v>6.6363636363636367</v>
      </c>
      <c r="H80" s="1017">
        <f>AVERAGE(I80:U80)</f>
        <v>48.5</v>
      </c>
      <c r="I80" s="533">
        <v>42</v>
      </c>
      <c r="J80" s="512">
        <v>53</v>
      </c>
      <c r="K80" s="520">
        <v>54</v>
      </c>
      <c r="L80" s="807">
        <v>55</v>
      </c>
      <c r="M80" s="520">
        <v>40</v>
      </c>
      <c r="N80" s="520">
        <v>47</v>
      </c>
      <c r="O80" s="520"/>
      <c r="P80" s="520"/>
      <c r="Q80" s="520"/>
      <c r="R80" s="520"/>
      <c r="S80" s="520"/>
      <c r="T80" s="521"/>
    </row>
    <row r="81" spans="1:20" ht="15" customHeight="1" x14ac:dyDescent="0.25">
      <c r="A81" s="516"/>
      <c r="B81" s="534" t="s">
        <v>269</v>
      </c>
      <c r="C81" s="911"/>
      <c r="D81" s="873" t="s">
        <v>384</v>
      </c>
      <c r="E81" s="686">
        <v>71.25</v>
      </c>
      <c r="F81" s="889">
        <v>61</v>
      </c>
      <c r="G81" s="1035">
        <v>89.818181818181813</v>
      </c>
      <c r="H81" s="1017">
        <f>AVERAGE(I81:U81)</f>
        <v>88.166666666666671</v>
      </c>
      <c r="I81" s="696">
        <v>66</v>
      </c>
      <c r="J81" s="533">
        <v>92</v>
      </c>
      <c r="K81" s="533">
        <v>95</v>
      </c>
      <c r="L81" s="858">
        <v>107</v>
      </c>
      <c r="M81" s="533">
        <v>84</v>
      </c>
      <c r="N81" s="533">
        <v>85</v>
      </c>
      <c r="O81" s="533"/>
      <c r="P81" s="533"/>
      <c r="Q81" s="533"/>
      <c r="R81" s="533"/>
      <c r="S81" s="858"/>
      <c r="T81" s="539"/>
    </row>
    <row r="82" spans="1:20" ht="15" customHeight="1" x14ac:dyDescent="0.25">
      <c r="A82" s="516"/>
      <c r="B82" s="762" t="s">
        <v>313</v>
      </c>
      <c r="C82" s="907"/>
      <c r="E82" s="726">
        <v>0</v>
      </c>
      <c r="F82" s="726">
        <v>0</v>
      </c>
      <c r="G82" s="726">
        <v>0</v>
      </c>
      <c r="H82" s="726">
        <v>0</v>
      </c>
      <c r="I82" s="533">
        <v>41</v>
      </c>
      <c r="J82" s="696">
        <v>59</v>
      </c>
      <c r="K82" s="533">
        <v>59</v>
      </c>
      <c r="L82" s="858">
        <v>60</v>
      </c>
      <c r="M82" s="533">
        <v>46</v>
      </c>
      <c r="N82" s="696">
        <v>53</v>
      </c>
      <c r="O82" s="533"/>
      <c r="P82" s="533"/>
      <c r="Q82" s="533"/>
      <c r="R82" s="533"/>
      <c r="S82" s="533"/>
      <c r="T82" s="532"/>
    </row>
    <row r="83" spans="1:20" ht="15" customHeight="1" x14ac:dyDescent="0.25">
      <c r="A83" s="516"/>
      <c r="B83" s="761" t="s">
        <v>314</v>
      </c>
      <c r="C83" s="907"/>
      <c r="E83" s="729">
        <v>0</v>
      </c>
      <c r="F83" s="729">
        <v>0</v>
      </c>
      <c r="G83" s="729">
        <v>0</v>
      </c>
      <c r="H83" s="729">
        <v>0</v>
      </c>
      <c r="I83" s="533">
        <v>41</v>
      </c>
      <c r="J83" s="533">
        <v>41</v>
      </c>
      <c r="K83" s="533">
        <v>54</v>
      </c>
      <c r="L83" s="858">
        <v>50</v>
      </c>
      <c r="M83" s="533">
        <v>43</v>
      </c>
      <c r="N83" s="533">
        <v>41</v>
      </c>
      <c r="O83" s="533"/>
      <c r="P83" s="533"/>
      <c r="Q83" s="533"/>
      <c r="R83" s="533"/>
      <c r="S83" s="533"/>
      <c r="T83" s="560"/>
    </row>
    <row r="84" spans="1:20" s="655" customFormat="1" ht="15.95" customHeight="1" x14ac:dyDescent="0.25">
      <c r="A84" s="654"/>
      <c r="B84" s="1051" t="s">
        <v>50</v>
      </c>
      <c r="C84" s="1052"/>
      <c r="D84" s="1052"/>
      <c r="E84" s="1052"/>
      <c r="F84" s="1052"/>
      <c r="G84" s="1052"/>
      <c r="H84" s="1052"/>
      <c r="I84" s="1052"/>
      <c r="J84" s="1052"/>
      <c r="K84" s="1052"/>
      <c r="L84" s="1052"/>
      <c r="M84" s="1052"/>
      <c r="N84" s="1052"/>
      <c r="O84" s="1052"/>
      <c r="P84" s="1052"/>
      <c r="Q84" s="1052"/>
      <c r="R84" s="1052"/>
      <c r="S84" s="1052"/>
      <c r="T84" s="1053"/>
    </row>
    <row r="85" spans="1:20" ht="15" customHeight="1" x14ac:dyDescent="0.25">
      <c r="A85" s="516"/>
      <c r="B85" s="536" t="s">
        <v>369</v>
      </c>
      <c r="C85" s="909"/>
      <c r="D85" s="871" t="s">
        <v>384</v>
      </c>
      <c r="E85" s="686">
        <v>117</v>
      </c>
      <c r="F85" s="936">
        <v>121</v>
      </c>
      <c r="G85" s="1015">
        <v>128</v>
      </c>
      <c r="H85" s="890">
        <f>AVERAGE(I85:T85)</f>
        <v>127.66666666666667</v>
      </c>
      <c r="I85" s="832">
        <v>127</v>
      </c>
      <c r="J85" s="844">
        <v>129</v>
      </c>
      <c r="K85" s="846">
        <v>127</v>
      </c>
      <c r="L85" s="561">
        <v>127</v>
      </c>
      <c r="M85" s="561">
        <v>129</v>
      </c>
      <c r="N85" s="561">
        <v>127</v>
      </c>
      <c r="O85" s="561"/>
      <c r="P85" s="561"/>
      <c r="Q85" s="561"/>
      <c r="R85" s="561"/>
      <c r="S85" s="561"/>
      <c r="T85" s="527"/>
    </row>
    <row r="86" spans="1:20" ht="15" customHeight="1" x14ac:dyDescent="0.25">
      <c r="A86" s="516"/>
      <c r="B86" s="762" t="s">
        <v>270</v>
      </c>
      <c r="C86" s="907"/>
      <c r="E86" s="728"/>
      <c r="F86" s="728"/>
      <c r="G86" s="728"/>
      <c r="H86" s="728"/>
      <c r="I86" s="511">
        <v>0</v>
      </c>
      <c r="J86" s="531">
        <v>4</v>
      </c>
      <c r="K86" s="505">
        <v>4</v>
      </c>
      <c r="L86" s="696">
        <v>1</v>
      </c>
      <c r="M86" s="505">
        <v>3</v>
      </c>
      <c r="N86" s="505">
        <v>1</v>
      </c>
      <c r="O86" s="505"/>
      <c r="P86" s="505"/>
      <c r="Q86" s="505"/>
      <c r="R86" s="505"/>
      <c r="S86" s="505"/>
    </row>
    <row r="87" spans="1:20" ht="15" customHeight="1" x14ac:dyDescent="0.25">
      <c r="A87" s="516"/>
      <c r="B87" s="761" t="s">
        <v>271</v>
      </c>
      <c r="C87" s="907"/>
      <c r="D87" s="877"/>
      <c r="E87" s="728"/>
      <c r="F87" s="728"/>
      <c r="G87" s="728"/>
      <c r="H87" s="728"/>
      <c r="I87" s="511">
        <v>1</v>
      </c>
      <c r="J87" s="533">
        <v>3</v>
      </c>
      <c r="K87" s="533">
        <v>2</v>
      </c>
      <c r="L87" s="505">
        <v>1</v>
      </c>
      <c r="M87" s="533">
        <v>1</v>
      </c>
      <c r="N87" s="533">
        <v>3</v>
      </c>
      <c r="O87" s="533"/>
      <c r="P87" s="533"/>
      <c r="Q87" s="533"/>
      <c r="R87" s="533"/>
      <c r="S87" s="533"/>
      <c r="T87" s="527"/>
    </row>
    <row r="88" spans="1:20" s="655" customFormat="1" ht="15.95" customHeight="1" x14ac:dyDescent="0.25">
      <c r="A88" s="654"/>
      <c r="B88" s="1051" t="s">
        <v>52</v>
      </c>
      <c r="C88" s="1052"/>
      <c r="D88" s="1052"/>
      <c r="E88" s="1052"/>
      <c r="F88" s="1052"/>
      <c r="G88" s="1052"/>
      <c r="H88" s="1052"/>
      <c r="I88" s="1052"/>
      <c r="J88" s="1052"/>
      <c r="K88" s="1052"/>
      <c r="L88" s="1052"/>
      <c r="M88" s="1052"/>
      <c r="N88" s="1052"/>
      <c r="O88" s="1052"/>
      <c r="P88" s="1052"/>
      <c r="Q88" s="1052"/>
      <c r="R88" s="1052"/>
      <c r="S88" s="1052"/>
      <c r="T88" s="1053"/>
    </row>
    <row r="89" spans="1:20" ht="15" customHeight="1" x14ac:dyDescent="0.25">
      <c r="A89" s="516"/>
      <c r="B89" s="536" t="s">
        <v>316</v>
      </c>
      <c r="D89" s="875" t="s">
        <v>384</v>
      </c>
      <c r="E89" s="937">
        <v>122</v>
      </c>
      <c r="F89" s="935">
        <v>117</v>
      </c>
      <c r="G89" s="1015">
        <v>172.72727272727272</v>
      </c>
      <c r="H89" s="890">
        <f>AVERAGE(I89:U89)</f>
        <v>224.33333333333334</v>
      </c>
      <c r="I89" s="511">
        <v>219</v>
      </c>
      <c r="J89" s="845">
        <v>211</v>
      </c>
      <c r="K89" s="561">
        <v>216</v>
      </c>
      <c r="L89" s="561">
        <v>220</v>
      </c>
      <c r="M89" s="561">
        <v>237</v>
      </c>
      <c r="N89" s="561">
        <v>243</v>
      </c>
      <c r="O89" s="561"/>
      <c r="P89" s="561"/>
      <c r="Q89" s="561"/>
      <c r="R89" s="561"/>
      <c r="S89" s="561"/>
      <c r="T89" s="527"/>
    </row>
    <row r="90" spans="1:20" ht="15" hidden="1" customHeight="1" x14ac:dyDescent="0.25">
      <c r="A90" s="516"/>
      <c r="B90" s="762" t="s">
        <v>270</v>
      </c>
      <c r="C90" s="907"/>
      <c r="E90" s="726">
        <v>0</v>
      </c>
      <c r="F90" s="727">
        <v>0</v>
      </c>
      <c r="G90" s="890" t="e">
        <v>#DIV/0!</v>
      </c>
      <c r="H90" s="890" t="e">
        <f t="shared" ref="H90:H93" si="7">AVERAGE(I90:U90)</f>
        <v>#DIV/0!</v>
      </c>
      <c r="I90" s="511"/>
      <c r="J90" s="822"/>
      <c r="K90" s="561"/>
      <c r="L90" s="561"/>
      <c r="M90" s="561"/>
      <c r="N90" s="561"/>
      <c r="O90" s="561"/>
      <c r="P90" s="561"/>
      <c r="Q90" s="561"/>
      <c r="R90" s="561"/>
      <c r="S90" s="561"/>
      <c r="T90" s="527"/>
    </row>
    <row r="91" spans="1:20" ht="15" hidden="1" customHeight="1" x14ac:dyDescent="0.25">
      <c r="A91" s="516"/>
      <c r="B91" s="762" t="s">
        <v>271</v>
      </c>
      <c r="C91" s="907"/>
      <c r="E91" s="724">
        <v>0</v>
      </c>
      <c r="F91" s="725">
        <v>0</v>
      </c>
      <c r="G91" s="890" t="e">
        <v>#DIV/0!</v>
      </c>
      <c r="H91" s="890" t="e">
        <f t="shared" si="7"/>
        <v>#DIV/0!</v>
      </c>
      <c r="I91" s="511"/>
      <c r="J91" s="561"/>
      <c r="K91" s="561"/>
      <c r="L91" s="561"/>
      <c r="M91" s="561"/>
      <c r="N91" s="561"/>
      <c r="O91" s="561"/>
      <c r="P91" s="561"/>
      <c r="Q91" s="561"/>
      <c r="R91" s="561"/>
      <c r="S91" s="561"/>
      <c r="T91" s="527"/>
    </row>
    <row r="92" spans="1:20" ht="15" customHeight="1" x14ac:dyDescent="0.25">
      <c r="A92" s="516"/>
      <c r="B92" s="534" t="s">
        <v>272</v>
      </c>
      <c r="E92" s="729">
        <v>0</v>
      </c>
      <c r="F92" s="732">
        <v>106142.25</v>
      </c>
      <c r="G92" s="732"/>
      <c r="H92" s="890"/>
      <c r="I92" s="822">
        <v>9044</v>
      </c>
      <c r="J92" s="970">
        <v>8945</v>
      </c>
      <c r="K92" s="971">
        <v>8633.25</v>
      </c>
      <c r="L92" s="1038">
        <v>9429.75</v>
      </c>
      <c r="M92" s="972"/>
      <c r="N92" s="822"/>
      <c r="O92" s="822"/>
      <c r="P92" s="822"/>
      <c r="Q92" s="1001"/>
      <c r="R92" s="964"/>
      <c r="S92" s="822"/>
      <c r="T92" s="1002"/>
    </row>
    <row r="93" spans="1:20" ht="15" customHeight="1" x14ac:dyDescent="0.25">
      <c r="A93" s="516"/>
      <c r="B93" s="534" t="s">
        <v>317</v>
      </c>
      <c r="D93" s="875" t="s">
        <v>384</v>
      </c>
      <c r="E93" s="937">
        <v>188</v>
      </c>
      <c r="F93" s="890">
        <v>190</v>
      </c>
      <c r="G93" s="1015">
        <v>306.90909090909093</v>
      </c>
      <c r="H93" s="890">
        <f t="shared" si="7"/>
        <v>316</v>
      </c>
      <c r="I93" s="1034">
        <v>316</v>
      </c>
      <c r="J93" s="847">
        <v>316</v>
      </c>
      <c r="K93" s="846">
        <v>316</v>
      </c>
      <c r="L93" s="561">
        <v>316</v>
      </c>
      <c r="M93" s="561">
        <v>316</v>
      </c>
      <c r="N93" s="561">
        <v>316</v>
      </c>
      <c r="O93" s="561"/>
      <c r="P93" s="561"/>
      <c r="Q93" s="561"/>
      <c r="R93" s="561"/>
      <c r="S93" s="561"/>
      <c r="T93" s="561"/>
    </row>
    <row r="94" spans="1:20" ht="15" customHeight="1" x14ac:dyDescent="0.25">
      <c r="A94" s="516"/>
      <c r="B94" s="762" t="s">
        <v>270</v>
      </c>
      <c r="C94" s="907"/>
      <c r="E94" s="726">
        <v>0</v>
      </c>
      <c r="F94" s="727">
        <v>19</v>
      </c>
      <c r="G94" s="728">
        <v>6.9</v>
      </c>
      <c r="H94" s="728">
        <f t="shared" ref="H94:H95" si="8">AVERAGE(J94:U94)</f>
        <v>7.2</v>
      </c>
      <c r="I94" s="511">
        <v>20</v>
      </c>
      <c r="J94" s="561">
        <v>4</v>
      </c>
      <c r="K94" s="561">
        <v>5</v>
      </c>
      <c r="L94" s="561">
        <v>4</v>
      </c>
      <c r="M94" s="561">
        <v>17</v>
      </c>
      <c r="N94" s="561">
        <v>6</v>
      </c>
      <c r="O94" s="561"/>
      <c r="P94" s="561"/>
      <c r="Q94" s="561"/>
      <c r="R94" s="561"/>
      <c r="S94" s="561"/>
      <c r="T94" s="527"/>
    </row>
    <row r="95" spans="1:20" ht="15" customHeight="1" x14ac:dyDescent="0.25">
      <c r="A95" s="516"/>
      <c r="B95" s="761" t="s">
        <v>271</v>
      </c>
      <c r="C95" s="907"/>
      <c r="E95" s="729">
        <v>0</v>
      </c>
      <c r="F95" s="732">
        <v>11</v>
      </c>
      <c r="G95" s="730">
        <v>4.9000000000000004</v>
      </c>
      <c r="H95" s="730">
        <f t="shared" si="8"/>
        <v>10.6</v>
      </c>
      <c r="I95" s="511">
        <v>0</v>
      </c>
      <c r="J95" s="561">
        <v>18</v>
      </c>
      <c r="K95" s="561">
        <v>9</v>
      </c>
      <c r="L95" s="561">
        <v>6</v>
      </c>
      <c r="M95" s="561">
        <v>17</v>
      </c>
      <c r="N95" s="561">
        <v>3</v>
      </c>
      <c r="O95" s="561"/>
      <c r="P95" s="561"/>
      <c r="Q95" s="561"/>
      <c r="R95" s="561"/>
      <c r="S95" s="561"/>
      <c r="T95" s="527"/>
    </row>
    <row r="96" spans="1:20" s="750" customFormat="1" ht="15" hidden="1" customHeight="1" x14ac:dyDescent="0.25">
      <c r="A96" s="746"/>
      <c r="B96" s="522" t="s">
        <v>32</v>
      </c>
      <c r="D96" s="875"/>
      <c r="E96" s="792"/>
      <c r="F96" s="793"/>
      <c r="G96" s="794"/>
      <c r="H96" s="794"/>
      <c r="I96" s="795">
        <v>1</v>
      </c>
      <c r="J96" s="796">
        <v>0</v>
      </c>
      <c r="K96" s="797"/>
      <c r="L96" s="796"/>
      <c r="M96" s="796"/>
      <c r="N96" s="978"/>
      <c r="O96" s="796"/>
      <c r="P96" s="796"/>
      <c r="Q96" s="796"/>
      <c r="R96" s="796"/>
      <c r="S96" s="796"/>
      <c r="T96" s="798"/>
    </row>
    <row r="97" spans="1:20" s="750" customFormat="1" ht="15" hidden="1" customHeight="1" x14ac:dyDescent="0.25">
      <c r="A97" s="746"/>
      <c r="B97" s="514" t="s">
        <v>33</v>
      </c>
      <c r="D97" s="875"/>
      <c r="E97" s="792"/>
      <c r="F97" s="793"/>
      <c r="G97" s="794"/>
      <c r="H97" s="794"/>
      <c r="I97" s="799">
        <v>-2</v>
      </c>
      <c r="J97" s="800">
        <v>-1</v>
      </c>
      <c r="K97" s="801"/>
      <c r="L97" s="800"/>
      <c r="M97" s="800"/>
      <c r="N97" s="979"/>
      <c r="O97" s="800"/>
      <c r="P97" s="800"/>
      <c r="Q97" s="800"/>
      <c r="R97" s="800"/>
      <c r="S97" s="800"/>
      <c r="T97" s="802"/>
    </row>
    <row r="98" spans="1:20" s="655" customFormat="1" ht="15.95" customHeight="1" x14ac:dyDescent="0.25">
      <c r="A98" s="654"/>
      <c r="B98" s="1079" t="s">
        <v>383</v>
      </c>
      <c r="C98" s="1080"/>
      <c r="D98" s="1080"/>
      <c r="E98" s="1080"/>
      <c r="F98" s="1080"/>
      <c r="G98" s="1080"/>
      <c r="H98" s="1080"/>
      <c r="I98" s="1080"/>
      <c r="J98" s="1082"/>
      <c r="K98" s="1080"/>
      <c r="L98" s="1080"/>
      <c r="M98" s="1080"/>
      <c r="N98" s="1080"/>
      <c r="O98" s="1080"/>
      <c r="P98" s="1080"/>
      <c r="Q98" s="1080"/>
      <c r="R98" s="1080"/>
      <c r="S98" s="1080"/>
      <c r="T98" s="1081"/>
    </row>
    <row r="99" spans="1:20" ht="32.1" customHeight="1" x14ac:dyDescent="0.25">
      <c r="A99" s="516"/>
      <c r="B99" s="563" t="s">
        <v>318</v>
      </c>
      <c r="C99" s="912"/>
      <c r="D99" s="879"/>
      <c r="E99" s="697">
        <v>1892</v>
      </c>
      <c r="F99" s="529">
        <v>2331</v>
      </c>
      <c r="G99" s="1016">
        <v>2580</v>
      </c>
      <c r="H99" s="1003">
        <f>SUM(I99:U99)</f>
        <v>946</v>
      </c>
      <c r="I99" s="822">
        <v>197</v>
      </c>
      <c r="J99" s="964">
        <v>193</v>
      </c>
      <c r="K99" s="629">
        <v>194</v>
      </c>
      <c r="L99" s="1039">
        <v>186</v>
      </c>
      <c r="M99" s="964">
        <v>176</v>
      </c>
      <c r="N99" s="822"/>
      <c r="O99" s="512"/>
      <c r="P99" s="561"/>
      <c r="Q99" s="964"/>
      <c r="R99" s="964"/>
      <c r="S99" s="822"/>
      <c r="T99" s="1002"/>
    </row>
    <row r="100" spans="1:20" ht="15" customHeight="1" x14ac:dyDescent="0.25">
      <c r="A100" s="516"/>
      <c r="B100" s="522" t="s">
        <v>319</v>
      </c>
      <c r="C100" s="903"/>
      <c r="D100" s="872"/>
      <c r="E100" s="672">
        <v>2033</v>
      </c>
      <c r="F100" s="530">
        <v>2125</v>
      </c>
      <c r="G100" s="1016">
        <v>2206</v>
      </c>
      <c r="H100" s="1003">
        <f>SUM(I100:U100)</f>
        <v>875</v>
      </c>
      <c r="I100" s="822">
        <v>173</v>
      </c>
      <c r="J100" s="964">
        <v>177</v>
      </c>
      <c r="K100" s="964">
        <v>178</v>
      </c>
      <c r="L100" s="964">
        <v>174</v>
      </c>
      <c r="M100" s="964">
        <v>173</v>
      </c>
      <c r="N100" s="822"/>
      <c r="O100" s="807"/>
      <c r="P100" s="807"/>
      <c r="Q100" s="964"/>
      <c r="R100" s="964"/>
      <c r="S100" s="822"/>
      <c r="T100" s="1002"/>
    </row>
    <row r="101" spans="1:20" ht="15" customHeight="1" x14ac:dyDescent="0.3">
      <c r="A101" s="516"/>
      <c r="B101" s="522" t="s">
        <v>320</v>
      </c>
      <c r="C101" s="750"/>
      <c r="E101" s="726">
        <v>0</v>
      </c>
      <c r="F101" s="727">
        <v>2487</v>
      </c>
      <c r="G101" s="733">
        <f t="shared" ref="G101:H101" si="9">SUM(I101:T101)</f>
        <v>10292</v>
      </c>
      <c r="H101" s="733">
        <f t="shared" si="9"/>
        <v>9875</v>
      </c>
      <c r="I101" s="1004">
        <v>417</v>
      </c>
      <c r="J101" s="822">
        <v>414</v>
      </c>
      <c r="K101" s="964">
        <v>492</v>
      </c>
      <c r="L101" s="520">
        <v>524</v>
      </c>
      <c r="M101" s="807">
        <v>8445</v>
      </c>
      <c r="N101" s="822"/>
      <c r="O101" s="520"/>
      <c r="P101" s="807"/>
      <c r="Q101" s="964"/>
      <c r="R101" s="964"/>
      <c r="S101" s="822"/>
      <c r="T101" s="1002"/>
    </row>
    <row r="102" spans="1:20" ht="15" hidden="1" customHeight="1" x14ac:dyDescent="0.25">
      <c r="A102" s="516"/>
      <c r="B102" s="803" t="s">
        <v>32</v>
      </c>
      <c r="C102" s="913"/>
      <c r="E102" s="804"/>
      <c r="F102" s="805"/>
      <c r="G102" s="806"/>
      <c r="H102" s="806"/>
      <c r="I102" s="519">
        <v>13</v>
      </c>
      <c r="J102" s="512"/>
      <c r="K102" s="520"/>
      <c r="L102" s="520"/>
      <c r="M102" s="520"/>
      <c r="N102" s="975"/>
      <c r="O102" s="520"/>
      <c r="P102" s="520"/>
      <c r="Q102" s="520"/>
      <c r="R102" s="520"/>
      <c r="S102" s="807"/>
      <c r="T102" s="532"/>
    </row>
    <row r="103" spans="1:20" ht="15" hidden="1" customHeight="1" x14ac:dyDescent="0.25">
      <c r="A103" s="516"/>
      <c r="B103" s="808" t="s">
        <v>33</v>
      </c>
      <c r="C103" s="913"/>
      <c r="E103" s="809"/>
      <c r="F103" s="810"/>
      <c r="G103" s="811"/>
      <c r="H103" s="811"/>
      <c r="I103" s="524">
        <v>-208</v>
      </c>
      <c r="J103" s="525"/>
      <c r="K103" s="525"/>
      <c r="L103" s="525"/>
      <c r="M103" s="525"/>
      <c r="N103" s="551"/>
      <c r="O103" s="525"/>
      <c r="P103" s="525"/>
      <c r="Q103" s="525"/>
      <c r="R103" s="525"/>
      <c r="S103" s="812"/>
      <c r="T103" s="560"/>
    </row>
    <row r="104" spans="1:20" ht="15" hidden="1" customHeight="1" x14ac:dyDescent="0.25">
      <c r="A104" s="516"/>
      <c r="B104" s="1073" t="s">
        <v>163</v>
      </c>
      <c r="C104" s="1074"/>
      <c r="D104" s="1074"/>
      <c r="E104" s="1074"/>
      <c r="F104" s="1074"/>
      <c r="G104" s="1074"/>
      <c r="H104" s="1074"/>
      <c r="I104" s="1074"/>
      <c r="J104" s="1074"/>
      <c r="K104" s="1074"/>
      <c r="L104" s="1074"/>
      <c r="M104" s="1074"/>
      <c r="N104" s="1074"/>
      <c r="O104" s="1074"/>
      <c r="P104" s="1074"/>
      <c r="Q104" s="1074"/>
      <c r="R104" s="1074"/>
      <c r="S104" s="1074"/>
      <c r="T104" s="1075"/>
    </row>
    <row r="105" spans="1:20" ht="15" hidden="1" customHeight="1" x14ac:dyDescent="0.25">
      <c r="A105" s="516"/>
      <c r="B105" s="813" t="s">
        <v>164</v>
      </c>
      <c r="C105" s="750"/>
      <c r="E105" s="804"/>
      <c r="F105" s="805"/>
      <c r="G105" s="814">
        <v>17</v>
      </c>
      <c r="H105" s="814">
        <v>17</v>
      </c>
      <c r="I105" s="629">
        <v>17</v>
      </c>
      <c r="J105" s="512"/>
      <c r="K105" s="512"/>
      <c r="L105" s="512"/>
      <c r="M105" s="512"/>
      <c r="N105" s="850"/>
      <c r="O105" s="512"/>
      <c r="P105" s="512"/>
      <c r="Q105" s="512"/>
      <c r="R105" s="512"/>
      <c r="S105" s="561"/>
      <c r="T105" s="532"/>
    </row>
    <row r="106" spans="1:20" ht="15" hidden="1" customHeight="1" x14ac:dyDescent="0.25">
      <c r="A106" s="516"/>
      <c r="B106" s="815" t="s">
        <v>165</v>
      </c>
      <c r="C106" s="914"/>
      <c r="D106" s="880"/>
      <c r="E106" s="809"/>
      <c r="F106" s="810"/>
      <c r="G106" s="816">
        <v>23</v>
      </c>
      <c r="H106" s="816">
        <v>23</v>
      </c>
      <c r="I106" s="817">
        <v>23</v>
      </c>
      <c r="J106" s="818"/>
      <c r="K106" s="818"/>
      <c r="L106" s="818"/>
      <c r="M106" s="818"/>
      <c r="N106" s="980"/>
      <c r="O106" s="818"/>
      <c r="P106" s="818"/>
      <c r="Q106" s="818"/>
      <c r="R106" s="818"/>
      <c r="S106" s="819"/>
      <c r="T106" s="820"/>
    </row>
    <row r="107" spans="1:20" s="655" customFormat="1" ht="12" customHeight="1" x14ac:dyDescent="0.25">
      <c r="A107" s="654"/>
      <c r="B107" s="1051" t="s">
        <v>59</v>
      </c>
      <c r="C107" s="1052"/>
      <c r="D107" s="1052"/>
      <c r="E107" s="1052"/>
      <c r="F107" s="1052"/>
      <c r="G107" s="1052"/>
      <c r="H107" s="1052"/>
      <c r="I107" s="1052"/>
      <c r="J107" s="1052"/>
      <c r="K107" s="1052"/>
      <c r="L107" s="1052"/>
      <c r="M107" s="1052"/>
      <c r="N107" s="1052"/>
      <c r="O107" s="1052"/>
      <c r="P107" s="1052"/>
      <c r="Q107" s="1052"/>
      <c r="R107" s="1052"/>
      <c r="S107" s="1052"/>
      <c r="T107" s="1053"/>
    </row>
    <row r="108" spans="1:20" s="750" customFormat="1" ht="24" customHeight="1" x14ac:dyDescent="0.25">
      <c r="A108" s="746"/>
      <c r="B108" s="509" t="s">
        <v>321</v>
      </c>
      <c r="C108" s="902"/>
      <c r="D108" s="871"/>
      <c r="E108" s="706">
        <v>2025</v>
      </c>
      <c r="F108" s="707">
        <v>2175</v>
      </c>
      <c r="G108" s="1013">
        <v>1299</v>
      </c>
      <c r="H108" s="510">
        <f t="shared" ref="H108:H116" si="10">SUM(J108:U108)</f>
        <v>875</v>
      </c>
      <c r="I108" s="747">
        <v>338</v>
      </c>
      <c r="J108" s="748">
        <v>366</v>
      </c>
      <c r="K108" s="748">
        <v>242</v>
      </c>
      <c r="L108" s="748">
        <v>139</v>
      </c>
      <c r="M108" s="748">
        <v>59</v>
      </c>
      <c r="N108" s="846">
        <v>69</v>
      </c>
      <c r="O108" s="748"/>
      <c r="P108" s="748"/>
      <c r="Q108" s="748"/>
      <c r="R108" s="748"/>
      <c r="S108" s="748"/>
      <c r="T108" s="749"/>
    </row>
    <row r="109" spans="1:20" s="750" customFormat="1" ht="24" customHeight="1" x14ac:dyDescent="0.25">
      <c r="A109" s="746"/>
      <c r="B109" s="762" t="s">
        <v>322</v>
      </c>
      <c r="C109" s="910"/>
      <c r="D109" s="873"/>
      <c r="E109" s="706">
        <v>1490</v>
      </c>
      <c r="F109" s="707">
        <v>1583</v>
      </c>
      <c r="G109" s="1018">
        <v>799</v>
      </c>
      <c r="H109" s="523">
        <f t="shared" si="10"/>
        <v>513</v>
      </c>
      <c r="I109" s="747">
        <v>271</v>
      </c>
      <c r="J109" s="748">
        <v>295</v>
      </c>
      <c r="K109" s="748">
        <v>165</v>
      </c>
      <c r="L109" s="748">
        <v>19</v>
      </c>
      <c r="M109" s="748">
        <v>9</v>
      </c>
      <c r="N109" s="846">
        <v>25</v>
      </c>
      <c r="O109" s="748"/>
      <c r="P109" s="748"/>
      <c r="Q109" s="748"/>
      <c r="R109" s="748"/>
      <c r="S109" s="748"/>
      <c r="T109" s="749"/>
    </row>
    <row r="110" spans="1:20" s="750" customFormat="1" ht="24" customHeight="1" x14ac:dyDescent="0.25">
      <c r="A110" s="746"/>
      <c r="B110" s="762" t="s">
        <v>323</v>
      </c>
      <c r="C110" s="910"/>
      <c r="D110" s="873"/>
      <c r="E110" s="706">
        <v>24</v>
      </c>
      <c r="F110" s="707">
        <v>26</v>
      </c>
      <c r="G110" s="1018">
        <v>8</v>
      </c>
      <c r="H110" s="523">
        <f>SUM(J110:U110)</f>
        <v>0</v>
      </c>
      <c r="I110" s="747">
        <v>0</v>
      </c>
      <c r="J110" s="748">
        <v>0</v>
      </c>
      <c r="K110" s="748">
        <v>0</v>
      </c>
      <c r="L110" s="748">
        <v>0</v>
      </c>
      <c r="M110" s="748">
        <v>0</v>
      </c>
      <c r="N110" s="748">
        <v>0</v>
      </c>
      <c r="O110" s="748"/>
      <c r="P110" s="748"/>
      <c r="Q110" s="748"/>
      <c r="R110" s="748"/>
      <c r="S110" s="748"/>
      <c r="T110" s="749"/>
    </row>
    <row r="111" spans="1:20" s="750" customFormat="1" ht="24" customHeight="1" x14ac:dyDescent="0.25">
      <c r="A111" s="746"/>
      <c r="B111" s="762" t="s">
        <v>324</v>
      </c>
      <c r="C111" s="910"/>
      <c r="D111" s="873"/>
      <c r="E111" s="706">
        <v>5</v>
      </c>
      <c r="F111" s="707">
        <v>7</v>
      </c>
      <c r="G111" s="1018">
        <v>2</v>
      </c>
      <c r="H111" s="523">
        <f t="shared" si="10"/>
        <v>0</v>
      </c>
      <c r="I111" s="947">
        <v>0</v>
      </c>
      <c r="J111" s="748">
        <v>0</v>
      </c>
      <c r="K111" s="748">
        <v>0</v>
      </c>
      <c r="L111" s="748">
        <v>0</v>
      </c>
      <c r="M111" s="748">
        <v>0</v>
      </c>
      <c r="N111" s="748">
        <v>0</v>
      </c>
      <c r="O111" s="748"/>
      <c r="P111" s="748"/>
      <c r="Q111" s="748"/>
      <c r="R111" s="748"/>
      <c r="S111" s="748"/>
      <c r="T111" s="749"/>
    </row>
    <row r="112" spans="1:20" s="750" customFormat="1" ht="24" customHeight="1" x14ac:dyDescent="0.25">
      <c r="A112" s="746"/>
      <c r="B112" s="762" t="s">
        <v>325</v>
      </c>
      <c r="C112" s="910"/>
      <c r="D112" s="873"/>
      <c r="E112" s="706">
        <v>266</v>
      </c>
      <c r="F112" s="707">
        <v>307</v>
      </c>
      <c r="G112" s="1018">
        <v>336</v>
      </c>
      <c r="H112" s="523">
        <f t="shared" si="10"/>
        <v>277</v>
      </c>
      <c r="I112" s="696">
        <v>42</v>
      </c>
      <c r="J112" s="748">
        <v>42</v>
      </c>
      <c r="K112" s="748">
        <v>71</v>
      </c>
      <c r="L112" s="748">
        <v>77</v>
      </c>
      <c r="M112" s="748">
        <v>46</v>
      </c>
      <c r="N112" s="846">
        <v>41</v>
      </c>
      <c r="O112" s="748"/>
      <c r="P112" s="748"/>
      <c r="Q112" s="748"/>
      <c r="R112" s="748"/>
      <c r="S112" s="748"/>
      <c r="T112" s="749"/>
    </row>
    <row r="113" spans="1:20" s="750" customFormat="1" ht="24" customHeight="1" x14ac:dyDescent="0.25">
      <c r="A113" s="746"/>
      <c r="B113" s="762" t="s">
        <v>326</v>
      </c>
      <c r="C113" s="910"/>
      <c r="D113" s="873"/>
      <c r="E113" s="706">
        <v>39</v>
      </c>
      <c r="F113" s="707">
        <v>41</v>
      </c>
      <c r="G113" s="1018">
        <v>58</v>
      </c>
      <c r="H113" s="523">
        <f t="shared" si="10"/>
        <v>23</v>
      </c>
      <c r="I113" s="747">
        <v>3</v>
      </c>
      <c r="J113" s="748">
        <v>11</v>
      </c>
      <c r="K113" s="748">
        <v>5</v>
      </c>
      <c r="L113" s="748">
        <v>5</v>
      </c>
      <c r="M113" s="748">
        <v>1</v>
      </c>
      <c r="N113" s="846">
        <v>1</v>
      </c>
      <c r="O113" s="748"/>
      <c r="P113" s="748"/>
      <c r="Q113" s="748"/>
      <c r="R113" s="748"/>
      <c r="S113" s="748"/>
      <c r="T113" s="749"/>
    </row>
    <row r="114" spans="1:20" s="750" customFormat="1" ht="24" customHeight="1" x14ac:dyDescent="0.25">
      <c r="A114" s="746"/>
      <c r="B114" s="762" t="s">
        <v>327</v>
      </c>
      <c r="C114" s="910"/>
      <c r="D114" s="873"/>
      <c r="E114" s="706">
        <v>34</v>
      </c>
      <c r="F114" s="707">
        <v>37</v>
      </c>
      <c r="G114" s="1018">
        <v>36</v>
      </c>
      <c r="H114" s="523">
        <f t="shared" si="10"/>
        <v>17</v>
      </c>
      <c r="I114" s="747">
        <v>7</v>
      </c>
      <c r="J114" s="696">
        <v>5</v>
      </c>
      <c r="K114" s="748">
        <v>0</v>
      </c>
      <c r="L114" s="748">
        <v>12</v>
      </c>
      <c r="M114" s="748">
        <v>0</v>
      </c>
      <c r="N114" s="748">
        <v>0</v>
      </c>
      <c r="O114" s="748"/>
      <c r="P114" s="748"/>
      <c r="Q114" s="748"/>
      <c r="R114" s="748"/>
      <c r="S114" s="748"/>
      <c r="T114" s="749"/>
    </row>
    <row r="115" spans="1:20" s="750" customFormat="1" ht="24" customHeight="1" x14ac:dyDescent="0.25">
      <c r="A115" s="746"/>
      <c r="B115" s="760" t="s">
        <v>328</v>
      </c>
      <c r="C115" s="905"/>
      <c r="D115" s="874"/>
      <c r="E115" s="706">
        <v>130</v>
      </c>
      <c r="F115" s="707">
        <v>133</v>
      </c>
      <c r="G115" s="1018">
        <v>37</v>
      </c>
      <c r="H115" s="523">
        <f>SUM(J115:U115)</f>
        <v>10</v>
      </c>
      <c r="I115" s="747">
        <v>5</v>
      </c>
      <c r="J115" s="748">
        <v>4</v>
      </c>
      <c r="K115" s="748">
        <v>1</v>
      </c>
      <c r="L115" s="748">
        <v>2</v>
      </c>
      <c r="M115" s="748">
        <v>1</v>
      </c>
      <c r="N115" s="846">
        <v>2</v>
      </c>
      <c r="O115" s="748"/>
      <c r="P115" s="748"/>
      <c r="Q115" s="748"/>
      <c r="R115" s="748"/>
      <c r="S115" s="748"/>
      <c r="T115" s="749"/>
    </row>
    <row r="116" spans="1:20" s="750" customFormat="1" ht="24" customHeight="1" x14ac:dyDescent="0.25">
      <c r="A116" s="746"/>
      <c r="B116" s="759" t="s">
        <v>329</v>
      </c>
      <c r="C116" s="915"/>
      <c r="D116" s="881"/>
      <c r="E116" s="706">
        <v>37</v>
      </c>
      <c r="F116" s="707">
        <v>41</v>
      </c>
      <c r="G116" s="1019">
        <v>28</v>
      </c>
      <c r="H116" s="542">
        <f t="shared" si="10"/>
        <v>46</v>
      </c>
      <c r="I116" s="747">
        <v>10</v>
      </c>
      <c r="J116" s="748">
        <v>9</v>
      </c>
      <c r="K116" s="748" t="s">
        <v>144</v>
      </c>
      <c r="L116" s="748">
        <v>24</v>
      </c>
      <c r="M116" s="748"/>
      <c r="N116" s="846">
        <v>13</v>
      </c>
      <c r="O116" s="748"/>
      <c r="P116" s="748"/>
      <c r="Q116" s="748"/>
      <c r="R116" s="748"/>
      <c r="S116" s="748"/>
      <c r="T116" s="749"/>
    </row>
    <row r="117" spans="1:20" s="655" customFormat="1" ht="15.95" customHeight="1" x14ac:dyDescent="0.25">
      <c r="A117" s="654"/>
      <c r="B117" s="1054" t="s">
        <v>265</v>
      </c>
      <c r="C117" s="1055"/>
      <c r="D117" s="1055"/>
      <c r="E117" s="1055"/>
      <c r="F117" s="1055"/>
      <c r="G117" s="1055"/>
      <c r="H117" s="1055"/>
      <c r="I117" s="1055"/>
      <c r="J117" s="1055"/>
      <c r="K117" s="1055"/>
      <c r="L117" s="1055"/>
      <c r="M117" s="1055"/>
      <c r="N117" s="1055"/>
      <c r="O117" s="1055"/>
      <c r="P117" s="1055"/>
      <c r="Q117" s="1055"/>
      <c r="R117" s="1055"/>
      <c r="S117" s="1055"/>
      <c r="T117" s="1056"/>
    </row>
    <row r="118" spans="1:20" s="655" customFormat="1" ht="15.95" customHeight="1" x14ac:dyDescent="0.25">
      <c r="A118" s="654"/>
      <c r="B118" s="1057" t="s">
        <v>73</v>
      </c>
      <c r="C118" s="1058"/>
      <c r="D118" s="1058"/>
      <c r="E118" s="1058"/>
      <c r="F118" s="1058"/>
      <c r="G118" s="1058"/>
      <c r="H118" s="1058"/>
      <c r="I118" s="1058"/>
      <c r="J118" s="1058"/>
      <c r="K118" s="1058"/>
      <c r="L118" s="1058"/>
      <c r="M118" s="1058"/>
      <c r="N118" s="1058"/>
      <c r="O118" s="1058"/>
      <c r="P118" s="1058"/>
      <c r="Q118" s="1058"/>
      <c r="R118" s="1058"/>
      <c r="S118" s="1058"/>
      <c r="T118" s="1059"/>
    </row>
    <row r="119" spans="1:20" ht="15" customHeight="1" x14ac:dyDescent="0.25">
      <c r="A119" s="516"/>
      <c r="B119" s="522" t="s">
        <v>330</v>
      </c>
      <c r="C119" s="750"/>
      <c r="D119" s="921" t="s">
        <v>384</v>
      </c>
      <c r="E119" s="959">
        <v>120.41666666666667</v>
      </c>
      <c r="F119" s="959">
        <v>102</v>
      </c>
      <c r="G119" s="932">
        <v>83.083333333333329</v>
      </c>
      <c r="H119" s="715">
        <f>AVERAGE(I119:T119)</f>
        <v>69.333333333333329</v>
      </c>
      <c r="I119" s="564">
        <v>83</v>
      </c>
      <c r="J119" s="835">
        <v>80</v>
      </c>
      <c r="K119" s="565">
        <v>65</v>
      </c>
      <c r="L119" s="565">
        <v>63</v>
      </c>
      <c r="M119" s="565">
        <v>63</v>
      </c>
      <c r="N119" s="508">
        <v>62</v>
      </c>
      <c r="O119" s="565"/>
      <c r="P119" s="565"/>
      <c r="Q119" s="565"/>
      <c r="R119" s="565"/>
      <c r="S119" s="565"/>
      <c r="T119" s="567"/>
    </row>
    <row r="120" spans="1:20" ht="15" customHeight="1" x14ac:dyDescent="0.25">
      <c r="A120" s="516"/>
      <c r="B120" s="522" t="s">
        <v>331</v>
      </c>
      <c r="C120" s="750"/>
      <c r="D120" s="921" t="s">
        <v>384</v>
      </c>
      <c r="E120" s="945">
        <v>33.75</v>
      </c>
      <c r="F120" s="959">
        <v>12</v>
      </c>
      <c r="G120" s="932">
        <v>23.583333333333332</v>
      </c>
      <c r="H120" s="715">
        <f>AVERAGE(I120:T120)</f>
        <v>31.666666666666668</v>
      </c>
      <c r="I120" s="564">
        <v>32</v>
      </c>
      <c r="J120" s="564">
        <v>32</v>
      </c>
      <c r="K120" s="565">
        <v>30</v>
      </c>
      <c r="L120" s="565">
        <v>32</v>
      </c>
      <c r="M120" s="565">
        <v>32</v>
      </c>
      <c r="N120" s="508">
        <v>32</v>
      </c>
      <c r="O120" s="565"/>
      <c r="P120" s="565"/>
      <c r="Q120" s="565"/>
      <c r="R120" s="565"/>
      <c r="S120" s="565"/>
      <c r="T120" s="567"/>
    </row>
    <row r="121" spans="1:20" ht="33" customHeight="1" x14ac:dyDescent="0.3">
      <c r="A121" s="516"/>
      <c r="B121" s="534" t="s">
        <v>332</v>
      </c>
      <c r="D121" s="921" t="s">
        <v>384</v>
      </c>
      <c r="E121" s="945">
        <v>1330.2857142857142</v>
      </c>
      <c r="F121" s="959">
        <v>103.16666666666667</v>
      </c>
      <c r="G121" s="932" t="e">
        <f t="shared" ref="G121" si="11">AVERAGE(I121:T121)</f>
        <v>#DIV/0!</v>
      </c>
      <c r="H121" s="715" t="e">
        <f>AVERAGE(I121:T121)</f>
        <v>#DIV/0!</v>
      </c>
      <c r="I121" s="1004" t="s">
        <v>427</v>
      </c>
      <c r="J121" s="1004" t="s">
        <v>427</v>
      </c>
      <c r="K121" s="1004" t="s">
        <v>427</v>
      </c>
      <c r="L121" s="1004" t="s">
        <v>427</v>
      </c>
      <c r="M121" s="1004" t="s">
        <v>427</v>
      </c>
      <c r="N121" s="1004" t="s">
        <v>427</v>
      </c>
      <c r="O121" s="1004" t="s">
        <v>427</v>
      </c>
      <c r="P121" s="1004" t="s">
        <v>427</v>
      </c>
      <c r="Q121" s="1004" t="s">
        <v>427</v>
      </c>
      <c r="R121" s="1004" t="s">
        <v>427</v>
      </c>
      <c r="S121" s="1004" t="s">
        <v>427</v>
      </c>
      <c r="T121" s="1004" t="s">
        <v>427</v>
      </c>
    </row>
    <row r="122" spans="1:20" ht="19.5" hidden="1" customHeight="1" x14ac:dyDescent="0.25">
      <c r="A122" s="516"/>
      <c r="B122" s="762" t="s">
        <v>270</v>
      </c>
      <c r="C122" s="907"/>
      <c r="E122" s="734">
        <v>0</v>
      </c>
      <c r="F122" s="735">
        <v>403</v>
      </c>
      <c r="G122" s="715">
        <f t="shared" ref="G122:H122" si="12">AVERAGEIF(I122:T122,"&lt;&gt;0")</f>
        <v>74.400000000000006</v>
      </c>
      <c r="H122" s="715">
        <f t="shared" si="12"/>
        <v>60.5</v>
      </c>
      <c r="I122" s="564">
        <v>130</v>
      </c>
      <c r="J122" s="835" t="s">
        <v>144</v>
      </c>
      <c r="K122" s="565">
        <v>73</v>
      </c>
      <c r="L122" s="565">
        <v>90</v>
      </c>
      <c r="M122" s="565">
        <v>30</v>
      </c>
      <c r="N122" s="981">
        <v>49</v>
      </c>
      <c r="O122" s="565">
        <v>0</v>
      </c>
      <c r="P122" s="565">
        <v>0</v>
      </c>
      <c r="Q122" s="565">
        <v>0</v>
      </c>
      <c r="R122" s="565">
        <v>0</v>
      </c>
      <c r="S122" s="565">
        <v>0</v>
      </c>
      <c r="T122" s="567">
        <v>0</v>
      </c>
    </row>
    <row r="123" spans="1:20" ht="19.5" hidden="1" customHeight="1" x14ac:dyDescent="0.25">
      <c r="A123" s="516"/>
      <c r="B123" s="761" t="s">
        <v>271</v>
      </c>
      <c r="C123" s="907"/>
      <c r="E123" s="734">
        <v>0</v>
      </c>
      <c r="F123" s="735">
        <v>2006</v>
      </c>
      <c r="G123" s="716">
        <f t="shared" ref="G123:H123" si="13">SUM(I123:T123)</f>
        <v>0</v>
      </c>
      <c r="H123" s="716">
        <f t="shared" si="13"/>
        <v>0</v>
      </c>
      <c r="I123" s="564">
        <v>0</v>
      </c>
      <c r="J123" s="836" t="s">
        <v>144</v>
      </c>
      <c r="K123" s="568" t="s">
        <v>144</v>
      </c>
      <c r="L123" s="568" t="s">
        <v>144</v>
      </c>
      <c r="M123" s="568" t="s">
        <v>144</v>
      </c>
      <c r="N123" s="982" t="s">
        <v>144</v>
      </c>
      <c r="O123" s="568">
        <v>0</v>
      </c>
      <c r="P123" s="568">
        <v>0</v>
      </c>
      <c r="Q123" s="568">
        <v>0</v>
      </c>
      <c r="R123" s="568">
        <v>0</v>
      </c>
      <c r="S123" s="568">
        <v>0</v>
      </c>
      <c r="T123" s="567">
        <v>0</v>
      </c>
    </row>
    <row r="124" spans="1:20" s="655" customFormat="1" ht="15.95" customHeight="1" x14ac:dyDescent="0.25">
      <c r="A124" s="654"/>
      <c r="B124" s="1060" t="s">
        <v>336</v>
      </c>
      <c r="C124" s="1061"/>
      <c r="D124" s="1061"/>
      <c r="E124" s="1061"/>
      <c r="F124" s="1061"/>
      <c r="G124" s="1061"/>
      <c r="H124" s="1061"/>
      <c r="I124" s="1061"/>
      <c r="J124" s="1061"/>
      <c r="K124" s="1061"/>
      <c r="L124" s="1061"/>
      <c r="M124" s="1061"/>
      <c r="N124" s="1061"/>
      <c r="O124" s="1061"/>
      <c r="P124" s="1061"/>
      <c r="Q124" s="1061"/>
      <c r="R124" s="1061"/>
      <c r="S124" s="1061"/>
      <c r="T124" s="1062"/>
    </row>
    <row r="125" spans="1:20" ht="15" customHeight="1" x14ac:dyDescent="0.25">
      <c r="A125" s="516"/>
      <c r="B125" s="536" t="s">
        <v>390</v>
      </c>
      <c r="E125" s="736">
        <v>0</v>
      </c>
      <c r="F125" s="737">
        <v>222633</v>
      </c>
      <c r="G125" s="738">
        <f t="shared" ref="G125:H128" si="14">SUM(I125:T125)</f>
        <v>104869</v>
      </c>
      <c r="H125" s="738">
        <f t="shared" si="14"/>
        <v>87953</v>
      </c>
      <c r="I125" s="537">
        <v>16916</v>
      </c>
      <c r="J125" s="538">
        <v>16927</v>
      </c>
      <c r="K125" s="538">
        <v>16957</v>
      </c>
      <c r="L125" s="538">
        <v>17531</v>
      </c>
      <c r="M125" s="538">
        <v>18061</v>
      </c>
      <c r="N125" s="512">
        <v>18477</v>
      </c>
      <c r="O125" s="538"/>
      <c r="P125" s="538"/>
      <c r="Q125" s="538"/>
      <c r="R125" s="538"/>
      <c r="S125" s="538"/>
      <c r="T125" s="569"/>
    </row>
    <row r="126" spans="1:20" ht="15" customHeight="1" x14ac:dyDescent="0.25">
      <c r="A126" s="516"/>
      <c r="B126" s="534" t="s">
        <v>333</v>
      </c>
      <c r="E126" s="736">
        <v>0</v>
      </c>
      <c r="F126" s="737">
        <v>412422</v>
      </c>
      <c r="G126" s="738">
        <f t="shared" si="14"/>
        <v>209479</v>
      </c>
      <c r="H126" s="738">
        <f t="shared" si="14"/>
        <v>175820</v>
      </c>
      <c r="I126" s="540">
        <v>33659</v>
      </c>
      <c r="J126" s="541">
        <v>33821</v>
      </c>
      <c r="K126" s="541">
        <v>34007</v>
      </c>
      <c r="L126" s="541">
        <v>35050</v>
      </c>
      <c r="M126" s="541">
        <v>36124</v>
      </c>
      <c r="N126" s="520">
        <v>36818</v>
      </c>
      <c r="O126" s="538"/>
      <c r="P126" s="541"/>
      <c r="Q126" s="541"/>
      <c r="S126" s="541"/>
      <c r="T126" s="539"/>
    </row>
    <row r="127" spans="1:20" ht="15" hidden="1" customHeight="1" x14ac:dyDescent="0.25">
      <c r="A127" s="516"/>
      <c r="B127" s="535" t="s">
        <v>334</v>
      </c>
      <c r="E127" s="736">
        <v>0</v>
      </c>
      <c r="F127" s="737">
        <v>0</v>
      </c>
      <c r="G127" s="738">
        <f t="shared" si="14"/>
        <v>0</v>
      </c>
      <c r="H127" s="738">
        <f t="shared" si="14"/>
        <v>0</v>
      </c>
      <c r="I127" s="570"/>
      <c r="J127" s="558"/>
      <c r="K127" s="558"/>
      <c r="L127" s="558"/>
      <c r="M127" s="558"/>
      <c r="N127" s="977"/>
      <c r="O127" s="538"/>
      <c r="P127" s="558"/>
      <c r="Q127" s="558"/>
      <c r="R127" s="558"/>
      <c r="S127" s="558"/>
      <c r="T127" s="571"/>
    </row>
    <row r="128" spans="1:20" ht="15" customHeight="1" x14ac:dyDescent="0.25">
      <c r="A128" s="516"/>
      <c r="B128" s="535" t="s">
        <v>335</v>
      </c>
      <c r="E128" s="736">
        <v>0</v>
      </c>
      <c r="F128" s="737">
        <v>56104956.780000001</v>
      </c>
      <c r="G128" s="738">
        <f t="shared" si="14"/>
        <v>37453669</v>
      </c>
      <c r="H128" s="738">
        <f t="shared" si="14"/>
        <v>31354729</v>
      </c>
      <c r="I128" s="572">
        <v>6098940</v>
      </c>
      <c r="J128" s="573">
        <v>6191802</v>
      </c>
      <c r="K128" s="573">
        <v>4994112</v>
      </c>
      <c r="L128" s="573">
        <v>6534036</v>
      </c>
      <c r="M128" s="573">
        <v>6768520</v>
      </c>
      <c r="N128" s="977">
        <v>6866259</v>
      </c>
      <c r="O128" s="538"/>
      <c r="P128" s="573"/>
      <c r="Q128" s="573"/>
      <c r="R128" s="573"/>
      <c r="S128" s="573"/>
      <c r="T128" s="575"/>
    </row>
    <row r="129" spans="1:20" s="655" customFormat="1" ht="15.95" customHeight="1" x14ac:dyDescent="0.25">
      <c r="A129" s="654"/>
      <c r="B129" s="1060" t="s">
        <v>385</v>
      </c>
      <c r="C129" s="1061"/>
      <c r="D129" s="1061"/>
      <c r="E129" s="1061"/>
      <c r="F129" s="1061"/>
      <c r="G129" s="1061"/>
      <c r="H129" s="1061"/>
      <c r="I129" s="1061"/>
      <c r="J129" s="1061"/>
      <c r="K129" s="1061"/>
      <c r="L129" s="1061"/>
      <c r="M129" s="1061"/>
      <c r="N129" s="1061"/>
      <c r="O129" s="1061"/>
      <c r="P129" s="1061"/>
      <c r="Q129" s="1061"/>
      <c r="R129" s="1061"/>
      <c r="S129" s="1061"/>
      <c r="T129" s="1062"/>
    </row>
    <row r="130" spans="1:20" ht="19.5" customHeight="1" x14ac:dyDescent="0.25">
      <c r="A130" s="516"/>
      <c r="B130" s="536" t="s">
        <v>386</v>
      </c>
      <c r="E130" s="724">
        <v>0</v>
      </c>
      <c r="F130" s="725">
        <v>559666</v>
      </c>
      <c r="G130" s="739">
        <f t="shared" ref="G130:H134" si="15">SUM(I130:T130)</f>
        <v>453356</v>
      </c>
      <c r="H130" s="739">
        <f t="shared" si="15"/>
        <v>377863</v>
      </c>
      <c r="I130" s="821">
        <v>75493</v>
      </c>
      <c r="J130" s="538">
        <v>75737</v>
      </c>
      <c r="K130" s="831">
        <v>75568</v>
      </c>
      <c r="L130" s="831">
        <v>75676</v>
      </c>
      <c r="M130" s="831">
        <v>75491</v>
      </c>
      <c r="N130" s="512">
        <v>75391</v>
      </c>
      <c r="O130" s="538"/>
      <c r="P130" s="538"/>
      <c r="Q130" s="538"/>
      <c r="R130" s="538"/>
      <c r="S130" s="538"/>
      <c r="T130" s="513"/>
    </row>
    <row r="131" spans="1:20" ht="12.6" hidden="1" customHeight="1" x14ac:dyDescent="0.25">
      <c r="A131" s="516"/>
      <c r="B131" s="534" t="s">
        <v>337</v>
      </c>
      <c r="E131" s="724">
        <v>0</v>
      </c>
      <c r="F131" s="725">
        <v>12670</v>
      </c>
      <c r="G131" s="739">
        <f t="shared" si="15"/>
        <v>0</v>
      </c>
      <c r="H131" s="739">
        <f t="shared" si="15"/>
        <v>0</v>
      </c>
      <c r="I131" s="524"/>
      <c r="J131" s="525"/>
      <c r="K131" s="525"/>
      <c r="L131" s="525"/>
      <c r="M131" s="525"/>
      <c r="N131" s="525"/>
      <c r="O131" s="512"/>
      <c r="P131" s="525"/>
      <c r="Q131" s="525"/>
      <c r="R131" s="525"/>
      <c r="S131" s="525"/>
      <c r="T131" s="521"/>
    </row>
    <row r="132" spans="1:20" ht="15" customHeight="1" x14ac:dyDescent="0.25">
      <c r="A132" s="516"/>
      <c r="B132" s="535" t="s">
        <v>338</v>
      </c>
      <c r="E132" s="724">
        <v>0</v>
      </c>
      <c r="F132" s="725">
        <v>7734</v>
      </c>
      <c r="G132" s="739">
        <f t="shared" si="15"/>
        <v>3749</v>
      </c>
      <c r="H132" s="739">
        <f t="shared" si="15"/>
        <v>3143</v>
      </c>
      <c r="I132" s="524">
        <v>606</v>
      </c>
      <c r="J132" s="525">
        <v>612</v>
      </c>
      <c r="K132" s="1030">
        <v>622</v>
      </c>
      <c r="L132" s="525">
        <v>624</v>
      </c>
      <c r="M132" s="525">
        <v>636</v>
      </c>
      <c r="N132" s="525">
        <v>649</v>
      </c>
      <c r="O132" s="512"/>
      <c r="P132" s="525"/>
      <c r="Q132" s="525"/>
      <c r="R132" s="525"/>
      <c r="S132" s="525"/>
      <c r="T132" s="526"/>
    </row>
    <row r="133" spans="1:20" ht="25.5" x14ac:dyDescent="0.25">
      <c r="A133" s="516"/>
      <c r="B133" s="900" t="s">
        <v>436</v>
      </c>
      <c r="C133" s="916"/>
      <c r="D133" s="876"/>
      <c r="E133" s="724">
        <v>0</v>
      </c>
      <c r="F133" s="725">
        <v>1.8613464253625978</v>
      </c>
      <c r="G133" s="739">
        <f t="shared" si="15"/>
        <v>1.4016208459307138</v>
      </c>
      <c r="H133" s="739">
        <f t="shared" si="15"/>
        <v>1.1682785181187638</v>
      </c>
      <c r="I133" s="849">
        <f>SUM(I130:I132)/U176</f>
        <v>0.23334232781195</v>
      </c>
      <c r="J133" s="849">
        <f>SUM(J130:J132)/U176</f>
        <v>0.23410890269405077</v>
      </c>
      <c r="K133" s="849">
        <f>SUM(K130:K132)/U176</f>
        <v>0.23362136106903467</v>
      </c>
      <c r="L133" s="849">
        <f>SUM(L130:L132)/U176</f>
        <v>0.23395865401715901</v>
      </c>
      <c r="M133" s="849">
        <f>SUM(M130:M132)/U176</f>
        <v>0.23342818419874528</v>
      </c>
      <c r="N133" s="849">
        <f>SUM(N130:N132)/U176</f>
        <v>0.2331614161397742</v>
      </c>
      <c r="O133" s="1031"/>
      <c r="P133" s="1031"/>
      <c r="Q133" s="1031"/>
      <c r="R133" s="1031"/>
      <c r="S133" s="1031"/>
      <c r="T133" s="1031"/>
    </row>
    <row r="134" spans="1:20" ht="27" customHeight="1" x14ac:dyDescent="0.25">
      <c r="A134" s="516"/>
      <c r="B134" s="901" t="s">
        <v>339</v>
      </c>
      <c r="C134" s="916"/>
      <c r="D134" s="876"/>
      <c r="E134" s="724">
        <v>0</v>
      </c>
      <c r="F134" s="740">
        <v>3850262</v>
      </c>
      <c r="G134" s="739">
        <f t="shared" si="15"/>
        <v>1756835</v>
      </c>
      <c r="H134" s="739">
        <f t="shared" si="15"/>
        <v>1471439</v>
      </c>
      <c r="I134" s="578">
        <v>285396</v>
      </c>
      <c r="J134" s="579">
        <v>288795</v>
      </c>
      <c r="K134" s="579">
        <v>287541</v>
      </c>
      <c r="L134" s="579">
        <v>285364</v>
      </c>
      <c r="M134" s="579">
        <v>303911</v>
      </c>
      <c r="N134" s="862">
        <v>305828</v>
      </c>
      <c r="O134" s="600"/>
      <c r="P134" s="579"/>
      <c r="Q134" s="579"/>
      <c r="R134" s="579"/>
      <c r="S134" s="579"/>
      <c r="T134" s="580"/>
    </row>
    <row r="135" spans="1:20" ht="0.75" customHeight="1" x14ac:dyDescent="0.25">
      <c r="A135" s="516"/>
      <c r="B135" s="901" t="s">
        <v>387</v>
      </c>
      <c r="C135" s="916"/>
      <c r="D135" s="876"/>
      <c r="E135" s="729"/>
      <c r="F135" s="732"/>
      <c r="G135" s="897"/>
      <c r="H135" s="897"/>
      <c r="I135" s="899" t="s">
        <v>144</v>
      </c>
      <c r="J135" s="899" t="s">
        <v>144</v>
      </c>
      <c r="K135" s="899" t="s">
        <v>144</v>
      </c>
      <c r="L135" s="899" t="s">
        <v>144</v>
      </c>
      <c r="M135" s="899" t="s">
        <v>144</v>
      </c>
      <c r="N135" s="899" t="s">
        <v>144</v>
      </c>
      <c r="O135" s="899" t="s">
        <v>144</v>
      </c>
      <c r="P135" s="899" t="s">
        <v>144</v>
      </c>
      <c r="Q135" s="899" t="s">
        <v>144</v>
      </c>
      <c r="R135" s="899" t="s">
        <v>144</v>
      </c>
      <c r="S135" s="983"/>
      <c r="T135" s="983"/>
    </row>
    <row r="136" spans="1:20" s="655" customFormat="1" ht="15.75" customHeight="1" x14ac:dyDescent="0.25">
      <c r="A136" s="654"/>
      <c r="B136" s="1063" t="s">
        <v>88</v>
      </c>
      <c r="C136" s="1064"/>
      <c r="D136" s="1064"/>
      <c r="E136" s="1064"/>
      <c r="F136" s="1064"/>
      <c r="G136" s="1064"/>
      <c r="H136" s="1064"/>
      <c r="I136" s="1064"/>
      <c r="J136" s="1064"/>
      <c r="K136" s="1064"/>
      <c r="L136" s="1064"/>
      <c r="M136" s="1064"/>
      <c r="N136" s="1064"/>
      <c r="O136" s="1064"/>
      <c r="P136" s="1064"/>
      <c r="Q136" s="1064"/>
      <c r="R136" s="1064"/>
      <c r="S136" s="1064"/>
      <c r="T136" s="1065"/>
    </row>
    <row r="137" spans="1:20" s="655" customFormat="1" ht="15.95" customHeight="1" x14ac:dyDescent="0.25">
      <c r="A137" s="654"/>
      <c r="B137" s="1066" t="s">
        <v>87</v>
      </c>
      <c r="C137" s="1067"/>
      <c r="D137" s="1067"/>
      <c r="E137" s="1067"/>
      <c r="F137" s="1067"/>
      <c r="G137" s="1067"/>
      <c r="H137" s="1067"/>
      <c r="I137" s="1067"/>
      <c r="J137" s="1067"/>
      <c r="K137" s="1067"/>
      <c r="L137" s="1067"/>
      <c r="M137" s="1067"/>
      <c r="N137" s="1067"/>
      <c r="O137" s="1067"/>
      <c r="P137" s="1067"/>
      <c r="Q137" s="1067"/>
      <c r="R137" s="1067"/>
      <c r="S137" s="1067"/>
      <c r="T137" s="1068"/>
    </row>
    <row r="138" spans="1:20" ht="15" customHeight="1" x14ac:dyDescent="0.25">
      <c r="A138" s="516"/>
      <c r="B138" s="536" t="s">
        <v>395</v>
      </c>
      <c r="E138" s="724">
        <v>0</v>
      </c>
      <c r="F138" s="725">
        <v>4108</v>
      </c>
      <c r="G138" s="739">
        <f t="shared" ref="G138:H141" si="16">SUM(I138:T138)</f>
        <v>914</v>
      </c>
      <c r="H138" s="739">
        <f t="shared" si="16"/>
        <v>765</v>
      </c>
      <c r="I138" s="511">
        <v>149</v>
      </c>
      <c r="J138" s="561">
        <v>151</v>
      </c>
      <c r="K138" s="561">
        <v>153</v>
      </c>
      <c r="L138" s="561">
        <v>152</v>
      </c>
      <c r="M138" s="561">
        <v>155</v>
      </c>
      <c r="N138" s="561">
        <v>154</v>
      </c>
      <c r="O138" s="512"/>
      <c r="P138" s="561"/>
      <c r="Q138" s="561"/>
      <c r="R138" s="561"/>
      <c r="S138" s="561"/>
      <c r="T138" s="561"/>
    </row>
    <row r="139" spans="1:20" ht="15" customHeight="1" x14ac:dyDescent="0.25">
      <c r="A139" s="516"/>
      <c r="B139" s="762" t="s">
        <v>340</v>
      </c>
      <c r="C139" s="907"/>
      <c r="E139" s="724">
        <v>0</v>
      </c>
      <c r="F139" s="725">
        <v>3156</v>
      </c>
      <c r="G139" s="739">
        <f t="shared" si="16"/>
        <v>569</v>
      </c>
      <c r="H139" s="739">
        <f t="shared" si="16"/>
        <v>478</v>
      </c>
      <c r="I139" s="519">
        <v>91</v>
      </c>
      <c r="J139" s="520">
        <v>93</v>
      </c>
      <c r="K139" s="520">
        <v>94</v>
      </c>
      <c r="L139" s="561">
        <v>97</v>
      </c>
      <c r="M139" s="561">
        <v>96</v>
      </c>
      <c r="N139" s="561">
        <v>98</v>
      </c>
      <c r="O139" s="512"/>
      <c r="P139" s="807"/>
      <c r="Q139" s="520"/>
      <c r="R139" s="520"/>
      <c r="S139" s="520"/>
      <c r="T139" s="521"/>
    </row>
    <row r="140" spans="1:20" ht="15" customHeight="1" x14ac:dyDescent="0.25">
      <c r="A140" s="516"/>
      <c r="B140" s="762" t="s">
        <v>341</v>
      </c>
      <c r="C140" s="907"/>
      <c r="E140" s="724">
        <v>0</v>
      </c>
      <c r="F140" s="725">
        <v>952</v>
      </c>
      <c r="G140" s="739">
        <f t="shared" si="16"/>
        <v>345</v>
      </c>
      <c r="H140" s="739">
        <f t="shared" si="16"/>
        <v>287</v>
      </c>
      <c r="I140" s="519">
        <v>58</v>
      </c>
      <c r="J140" s="520">
        <v>58</v>
      </c>
      <c r="K140" s="696">
        <v>59</v>
      </c>
      <c r="L140" s="696">
        <v>55</v>
      </c>
      <c r="M140" s="561">
        <v>59</v>
      </c>
      <c r="N140" s="561">
        <v>56</v>
      </c>
      <c r="O140" s="512"/>
      <c r="P140" s="807"/>
      <c r="Q140" s="520"/>
      <c r="R140" s="520"/>
      <c r="S140" s="520"/>
      <c r="T140" s="521"/>
    </row>
    <row r="141" spans="1:20" ht="15" customHeight="1" x14ac:dyDescent="0.25">
      <c r="A141" s="516"/>
      <c r="B141" s="535" t="s">
        <v>342</v>
      </c>
      <c r="E141" s="724">
        <v>0</v>
      </c>
      <c r="F141" s="725">
        <v>883408</v>
      </c>
      <c r="G141" s="739">
        <f t="shared" si="16"/>
        <v>223875</v>
      </c>
      <c r="H141" s="739">
        <f t="shared" si="16"/>
        <v>187044</v>
      </c>
      <c r="I141" s="578">
        <v>36831</v>
      </c>
      <c r="J141" s="574">
        <v>36962</v>
      </c>
      <c r="K141" s="574">
        <v>39053</v>
      </c>
      <c r="L141" s="574">
        <v>37065</v>
      </c>
      <c r="M141" s="574">
        <v>37062</v>
      </c>
      <c r="N141" s="551">
        <v>36902</v>
      </c>
      <c r="O141" s="574"/>
      <c r="P141" s="923"/>
      <c r="Q141" s="574"/>
      <c r="R141" s="574"/>
      <c r="S141" s="574"/>
      <c r="T141" s="575"/>
    </row>
    <row r="142" spans="1:20" s="655" customFormat="1" ht="12.95" customHeight="1" x14ac:dyDescent="0.25">
      <c r="A142" s="654"/>
      <c r="B142" s="1051" t="s">
        <v>89</v>
      </c>
      <c r="C142" s="1052"/>
      <c r="D142" s="1052"/>
      <c r="E142" s="1052"/>
      <c r="F142" s="1052"/>
      <c r="G142" s="1052"/>
      <c r="H142" s="1052"/>
      <c r="I142" s="1052"/>
      <c r="J142" s="1052"/>
      <c r="K142" s="1052"/>
      <c r="L142" s="1052"/>
      <c r="M142" s="1052"/>
      <c r="N142" s="1052"/>
      <c r="O142" s="1052"/>
      <c r="P142" s="1052"/>
      <c r="Q142" s="1052"/>
      <c r="R142" s="1052"/>
      <c r="S142" s="1052"/>
      <c r="T142" s="1053"/>
    </row>
    <row r="143" spans="1:20" ht="3" hidden="1" customHeight="1" x14ac:dyDescent="0.25">
      <c r="A143" s="516"/>
      <c r="B143" s="536" t="s">
        <v>343</v>
      </c>
      <c r="E143" s="724">
        <v>0</v>
      </c>
      <c r="F143" s="725">
        <v>934</v>
      </c>
      <c r="G143" s="739">
        <f t="shared" ref="G143:H145" si="17">SUM(I143:T143)</f>
        <v>0</v>
      </c>
      <c r="H143" s="739">
        <f t="shared" si="17"/>
        <v>0</v>
      </c>
      <c r="I143" s="892" t="s">
        <v>144</v>
      </c>
      <c r="J143" s="892"/>
      <c r="K143" s="892"/>
      <c r="L143" s="892"/>
      <c r="M143" s="892"/>
      <c r="N143" s="892"/>
      <c r="O143" s="892"/>
      <c r="P143" s="892"/>
      <c r="Q143" s="892"/>
      <c r="R143" s="892"/>
      <c r="S143" s="892"/>
      <c r="T143" s="892"/>
    </row>
    <row r="144" spans="1:20" ht="15" hidden="1" customHeight="1" x14ac:dyDescent="0.25">
      <c r="A144" s="516"/>
      <c r="B144" s="581" t="s">
        <v>344</v>
      </c>
      <c r="C144" s="916"/>
      <c r="D144" s="876"/>
      <c r="E144" s="741">
        <v>0</v>
      </c>
      <c r="F144" s="742">
        <v>0</v>
      </c>
      <c r="G144" s="739">
        <f t="shared" si="17"/>
        <v>0</v>
      </c>
      <c r="H144" s="739">
        <f t="shared" si="17"/>
        <v>0</v>
      </c>
      <c r="I144" s="892" t="s">
        <v>144</v>
      </c>
      <c r="J144" s="892"/>
      <c r="K144" s="892"/>
      <c r="L144" s="892"/>
      <c r="M144" s="892"/>
      <c r="N144" s="892"/>
      <c r="O144" s="892"/>
      <c r="P144" s="892"/>
      <c r="Q144" s="892"/>
      <c r="R144" s="892"/>
      <c r="S144" s="892"/>
      <c r="T144" s="892"/>
    </row>
    <row r="145" spans="1:20" ht="15" hidden="1" customHeight="1" x14ac:dyDescent="0.25">
      <c r="A145" s="516"/>
      <c r="B145" s="535" t="s">
        <v>345</v>
      </c>
      <c r="E145" s="743">
        <v>0</v>
      </c>
      <c r="F145" s="744">
        <v>0</v>
      </c>
      <c r="G145" s="745">
        <f t="shared" si="17"/>
        <v>0</v>
      </c>
      <c r="H145" s="745">
        <f t="shared" si="17"/>
        <v>0</v>
      </c>
      <c r="I145" s="892" t="s">
        <v>144</v>
      </c>
      <c r="J145" s="892"/>
      <c r="K145" s="892"/>
      <c r="L145" s="892"/>
      <c r="M145" s="892"/>
      <c r="N145" s="892"/>
      <c r="O145" s="892"/>
      <c r="P145" s="892"/>
      <c r="Q145" s="892"/>
      <c r="R145" s="892"/>
      <c r="S145" s="892"/>
      <c r="T145" s="892"/>
    </row>
    <row r="146" spans="1:20" ht="15" hidden="1" customHeight="1" x14ac:dyDescent="0.25">
      <c r="A146" s="516"/>
      <c r="B146" s="534" t="s">
        <v>346</v>
      </c>
      <c r="C146" s="909"/>
      <c r="D146" s="871"/>
      <c r="E146" s="667" t="s">
        <v>144</v>
      </c>
      <c r="F146" s="518" t="s">
        <v>144</v>
      </c>
      <c r="G146" s="1020"/>
      <c r="H146" s="683"/>
      <c r="I146" s="892" t="s">
        <v>144</v>
      </c>
      <c r="J146" s="892"/>
      <c r="K146" s="892"/>
      <c r="L146" s="892"/>
      <c r="M146" s="892"/>
      <c r="N146" s="892"/>
      <c r="O146" s="892"/>
      <c r="P146" s="892"/>
      <c r="Q146" s="892"/>
      <c r="R146" s="892"/>
      <c r="S146" s="892"/>
      <c r="T146" s="892"/>
    </row>
    <row r="147" spans="1:20" ht="15" customHeight="1" x14ac:dyDescent="0.25">
      <c r="A147" s="516"/>
      <c r="B147" s="587" t="s">
        <v>347</v>
      </c>
      <c r="C147" s="917"/>
      <c r="D147" s="881"/>
      <c r="E147" s="537">
        <v>34</v>
      </c>
      <c r="F147" s="518">
        <v>34</v>
      </c>
      <c r="G147" s="1019">
        <v>9</v>
      </c>
      <c r="H147" s="542">
        <f>SUM(J147:U147)</f>
        <v>19</v>
      </c>
      <c r="I147" s="588">
        <v>3</v>
      </c>
      <c r="J147" s="589">
        <v>3</v>
      </c>
      <c r="K147" s="589">
        <v>5</v>
      </c>
      <c r="L147" s="589">
        <v>4</v>
      </c>
      <c r="M147" s="589">
        <v>4</v>
      </c>
      <c r="N147" s="1032">
        <v>3</v>
      </c>
      <c r="O147" s="589"/>
      <c r="Q147" s="589"/>
      <c r="R147" s="589"/>
      <c r="S147" s="589"/>
      <c r="T147" s="590"/>
    </row>
    <row r="148" spans="1:20" s="655" customFormat="1" ht="15.95" customHeight="1" x14ac:dyDescent="0.25">
      <c r="A148" s="654"/>
      <c r="B148" s="1054" t="s">
        <v>266</v>
      </c>
      <c r="C148" s="1069"/>
      <c r="D148" s="1069"/>
      <c r="E148" s="1069"/>
      <c r="F148" s="1069"/>
      <c r="G148" s="1055"/>
      <c r="H148" s="1055"/>
      <c r="I148" s="1055"/>
      <c r="J148" s="1055"/>
      <c r="K148" s="1055"/>
      <c r="L148" s="1055"/>
      <c r="M148" s="1055"/>
      <c r="N148" s="1055"/>
      <c r="O148" s="1055"/>
      <c r="P148" s="1055"/>
      <c r="Q148" s="1055"/>
      <c r="R148" s="1055"/>
      <c r="S148" s="1055"/>
      <c r="T148" s="1056"/>
    </row>
    <row r="149" spans="1:20" s="655" customFormat="1" ht="15.95" customHeight="1" x14ac:dyDescent="0.25">
      <c r="A149" s="654"/>
      <c r="B149" s="1070" t="s">
        <v>94</v>
      </c>
      <c r="C149" s="1071"/>
      <c r="D149" s="1071"/>
      <c r="E149" s="1071"/>
      <c r="F149" s="1071"/>
      <c r="G149" s="1071"/>
      <c r="H149" s="1071"/>
      <c r="I149" s="1071"/>
      <c r="J149" s="1071"/>
      <c r="K149" s="1071"/>
      <c r="L149" s="1071"/>
      <c r="M149" s="1071"/>
      <c r="N149" s="1071"/>
      <c r="O149" s="1071"/>
      <c r="P149" s="1071"/>
      <c r="Q149" s="1071"/>
      <c r="R149" s="1071"/>
      <c r="S149" s="1071"/>
      <c r="T149" s="1072"/>
    </row>
    <row r="150" spans="1:20" ht="15" customHeight="1" x14ac:dyDescent="0.25">
      <c r="A150" s="516"/>
      <c r="B150" s="536" t="s">
        <v>348</v>
      </c>
      <c r="C150" s="909"/>
      <c r="D150" s="871"/>
      <c r="E150" s="960">
        <v>183973.25</v>
      </c>
      <c r="F150" s="960">
        <v>181770.77</v>
      </c>
      <c r="G150" s="1014">
        <v>1791047.51</v>
      </c>
      <c r="H150" s="591">
        <f t="shared" ref="H150" si="18">SUM(H151:H156)</f>
        <v>718289.57</v>
      </c>
      <c r="I150" s="923">
        <v>151039</v>
      </c>
      <c r="J150" s="551">
        <f>SUM(J151:J156)</f>
        <v>202204.1</v>
      </c>
      <c r="K150" s="551">
        <f t="shared" ref="K150:N150" si="19">SUM(K151:K156)</f>
        <v>98276</v>
      </c>
      <c r="L150" s="551">
        <f t="shared" si="19"/>
        <v>85845.77</v>
      </c>
      <c r="M150" s="551">
        <f t="shared" si="19"/>
        <v>97528.7</v>
      </c>
      <c r="N150" s="551">
        <f t="shared" si="19"/>
        <v>83396</v>
      </c>
      <c r="O150" s="838"/>
      <c r="P150" s="680"/>
      <c r="Q150" s="680"/>
      <c r="R150" s="680"/>
      <c r="S150" s="680"/>
      <c r="T150" s="834"/>
    </row>
    <row r="151" spans="1:20" ht="15" customHeight="1" x14ac:dyDescent="0.25">
      <c r="A151" s="516"/>
      <c r="B151" s="763" t="s">
        <v>349</v>
      </c>
      <c r="C151" s="918"/>
      <c r="D151" s="871"/>
      <c r="E151" s="960">
        <v>1071</v>
      </c>
      <c r="F151" s="960">
        <v>677</v>
      </c>
      <c r="G151" s="1014">
        <v>5697.5300000000007</v>
      </c>
      <c r="H151" s="591">
        <f>SUM(I151:U151)</f>
        <v>727.5</v>
      </c>
      <c r="I151" s="969">
        <v>491</v>
      </c>
      <c r="J151" s="551">
        <v>0</v>
      </c>
      <c r="K151" s="551">
        <v>0</v>
      </c>
      <c r="L151" s="851">
        <v>0</v>
      </c>
      <c r="M151" s="551">
        <v>186.5</v>
      </c>
      <c r="N151" s="851">
        <v>50</v>
      </c>
      <c r="O151" s="551"/>
      <c r="P151" s="551"/>
      <c r="Q151" s="967"/>
      <c r="R151" s="551"/>
      <c r="S151" s="1009"/>
      <c r="T151" s="967"/>
    </row>
    <row r="152" spans="1:20" ht="15" customHeight="1" x14ac:dyDescent="0.25">
      <c r="A152" s="516"/>
      <c r="B152" s="762" t="s">
        <v>350</v>
      </c>
      <c r="C152" s="910"/>
      <c r="D152" s="873"/>
      <c r="E152" s="960">
        <v>125574.99</v>
      </c>
      <c r="F152" s="960">
        <v>147496.13</v>
      </c>
      <c r="G152" s="1021">
        <v>1757729.88</v>
      </c>
      <c r="H152" s="591">
        <f t="shared" ref="H152:H156" si="20">SUM(I152:U152)</f>
        <v>713537.87</v>
      </c>
      <c r="I152" s="969">
        <v>149116.73000000001</v>
      </c>
      <c r="J152" s="851">
        <v>200831.17</v>
      </c>
      <c r="K152" s="1036">
        <v>98056</v>
      </c>
      <c r="L152" s="851">
        <v>85705.77</v>
      </c>
      <c r="M152" s="1040">
        <v>96632.2</v>
      </c>
      <c r="N152" s="1009">
        <v>83196</v>
      </c>
      <c r="O152" s="551"/>
      <c r="P152" s="1009"/>
      <c r="Q152" s="967"/>
      <c r="R152" s="967"/>
      <c r="S152" s="967"/>
      <c r="T152" s="967"/>
    </row>
    <row r="153" spans="1:20" ht="27.6" customHeight="1" x14ac:dyDescent="0.2">
      <c r="A153" s="516"/>
      <c r="B153" s="762" t="s">
        <v>351</v>
      </c>
      <c r="C153" s="910"/>
      <c r="D153" s="873"/>
      <c r="E153" s="960">
        <v>5226.96</v>
      </c>
      <c r="F153" s="960">
        <v>2246.6799999999998</v>
      </c>
      <c r="G153" s="1021">
        <v>7189.1</v>
      </c>
      <c r="H153" s="591">
        <f t="shared" si="20"/>
        <v>3319.2</v>
      </c>
      <c r="I153" s="969">
        <v>1331.27</v>
      </c>
      <c r="J153" s="851">
        <v>1267.93</v>
      </c>
      <c r="K153" s="1036">
        <v>120</v>
      </c>
      <c r="L153" s="851">
        <v>40</v>
      </c>
      <c r="M153" s="851">
        <v>560</v>
      </c>
      <c r="N153" s="851">
        <v>0</v>
      </c>
      <c r="O153" s="551"/>
      <c r="P153" s="851"/>
      <c r="Q153" s="967"/>
      <c r="R153" s="551"/>
      <c r="S153" s="967"/>
      <c r="T153" s="967"/>
    </row>
    <row r="154" spans="1:20" ht="15" customHeight="1" x14ac:dyDescent="0.25">
      <c r="A154" s="516"/>
      <c r="B154" s="762" t="s">
        <v>352</v>
      </c>
      <c r="C154" s="910"/>
      <c r="D154" s="873"/>
      <c r="E154" s="960">
        <v>43761.8</v>
      </c>
      <c r="F154" s="960">
        <v>28958.059999999998</v>
      </c>
      <c r="G154" s="1021">
        <v>19726</v>
      </c>
      <c r="H154" s="591">
        <f t="shared" si="20"/>
        <v>50</v>
      </c>
      <c r="I154" s="696">
        <v>0</v>
      </c>
      <c r="J154" s="851">
        <v>0</v>
      </c>
      <c r="K154" s="696">
        <v>0</v>
      </c>
      <c r="L154" s="696">
        <v>0</v>
      </c>
      <c r="M154" s="851">
        <v>50</v>
      </c>
      <c r="N154" s="851">
        <v>0</v>
      </c>
      <c r="O154" s="551"/>
      <c r="P154" s="1009"/>
      <c r="Q154" s="967"/>
      <c r="R154" s="551"/>
      <c r="S154" s="551"/>
      <c r="T154" s="967"/>
    </row>
    <row r="155" spans="1:20" ht="15" customHeight="1" x14ac:dyDescent="0.25">
      <c r="A155" s="516"/>
      <c r="B155" s="762" t="s">
        <v>353</v>
      </c>
      <c r="C155" s="910"/>
      <c r="D155" s="873"/>
      <c r="E155" s="960">
        <v>8338.5</v>
      </c>
      <c r="F155" s="960">
        <v>2362.9</v>
      </c>
      <c r="G155" s="1021">
        <v>705</v>
      </c>
      <c r="H155" s="591">
        <f t="shared" si="20"/>
        <v>655</v>
      </c>
      <c r="I155" s="969">
        <v>100</v>
      </c>
      <c r="J155" s="851">
        <v>105</v>
      </c>
      <c r="K155" s="969">
        <v>100</v>
      </c>
      <c r="L155" s="851">
        <v>100</v>
      </c>
      <c r="M155" s="851">
        <v>100</v>
      </c>
      <c r="N155" s="851">
        <v>150</v>
      </c>
      <c r="O155" s="551"/>
      <c r="P155" s="551"/>
      <c r="Q155" s="551"/>
      <c r="R155" s="967"/>
      <c r="S155" s="967"/>
      <c r="T155" s="967"/>
    </row>
    <row r="156" spans="1:20" ht="15" customHeight="1" x14ac:dyDescent="0.25">
      <c r="A156" s="516"/>
      <c r="B156" s="761" t="s">
        <v>354</v>
      </c>
      <c r="C156" s="906"/>
      <c r="D156" s="872"/>
      <c r="E156" s="960">
        <v>0</v>
      </c>
      <c r="F156" s="960">
        <v>30</v>
      </c>
      <c r="G156" s="1022">
        <v>0</v>
      </c>
      <c r="H156" s="591">
        <f t="shared" si="20"/>
        <v>0</v>
      </c>
      <c r="I156" s="969">
        <v>0</v>
      </c>
      <c r="J156" s="851">
        <v>0</v>
      </c>
      <c r="K156" s="969">
        <v>0</v>
      </c>
      <c r="L156" s="969">
        <v>0</v>
      </c>
      <c r="M156" s="851">
        <v>0</v>
      </c>
      <c r="N156" s="851">
        <v>0</v>
      </c>
      <c r="O156" s="551"/>
      <c r="P156" s="551"/>
      <c r="Q156" s="551"/>
      <c r="R156" s="551"/>
      <c r="S156" s="551"/>
      <c r="T156" s="551"/>
    </row>
    <row r="157" spans="1:20" s="655" customFormat="1" ht="15.95" customHeight="1" x14ac:dyDescent="0.25">
      <c r="A157" s="654"/>
      <c r="B157" s="1060" t="s">
        <v>95</v>
      </c>
      <c r="C157" s="1061"/>
      <c r="D157" s="1061"/>
      <c r="E157" s="1061"/>
      <c r="F157" s="1061"/>
      <c r="G157" s="1061"/>
      <c r="H157" s="1061"/>
      <c r="I157" s="1061"/>
      <c r="J157" s="1061"/>
      <c r="K157" s="1061"/>
      <c r="L157" s="1061"/>
      <c r="M157" s="1061"/>
      <c r="N157" s="1061"/>
      <c r="O157" s="1061"/>
      <c r="P157" s="1061"/>
      <c r="Q157" s="1061"/>
      <c r="R157" s="1061"/>
      <c r="S157" s="1061"/>
      <c r="T157" s="1062"/>
    </row>
    <row r="158" spans="1:20" ht="15" customHeight="1" x14ac:dyDescent="0.25">
      <c r="A158" s="516"/>
      <c r="B158" s="536" t="s">
        <v>355</v>
      </c>
      <c r="C158" s="909"/>
      <c r="D158" s="871"/>
      <c r="E158" s="706">
        <v>26704</v>
      </c>
      <c r="F158" s="707">
        <v>29850</v>
      </c>
      <c r="G158" s="1013">
        <v>62694</v>
      </c>
      <c r="H158" s="510">
        <f>SUM(I158:T158)</f>
        <v>34021</v>
      </c>
      <c r="I158" s="537">
        <v>6693</v>
      </c>
      <c r="J158" s="537">
        <v>4960</v>
      </c>
      <c r="K158" s="566">
        <v>6587</v>
      </c>
      <c r="L158" s="537">
        <v>6157</v>
      </c>
      <c r="M158" s="566">
        <v>4119</v>
      </c>
      <c r="N158" s="561">
        <v>5505</v>
      </c>
      <c r="O158" s="537"/>
      <c r="P158" s="537"/>
      <c r="Q158" s="566"/>
      <c r="R158" s="566"/>
      <c r="S158" s="566"/>
      <c r="T158" s="566"/>
    </row>
    <row r="159" spans="1:20" ht="15" customHeight="1" x14ac:dyDescent="0.25">
      <c r="A159" s="516"/>
      <c r="B159" s="763" t="s">
        <v>97</v>
      </c>
      <c r="C159" s="918"/>
      <c r="D159" s="871"/>
      <c r="E159" s="706">
        <v>26634</v>
      </c>
      <c r="F159" s="707">
        <v>29850</v>
      </c>
      <c r="G159" s="1013">
        <v>60664</v>
      </c>
      <c r="H159" s="510">
        <f t="shared" ref="H159:H160" si="21">SUM(I159:T159)</f>
        <v>34021</v>
      </c>
      <c r="I159" s="537">
        <v>6693</v>
      </c>
      <c r="J159" s="537">
        <v>4960</v>
      </c>
      <c r="K159" s="566">
        <v>6587</v>
      </c>
      <c r="L159" s="537">
        <v>6157</v>
      </c>
      <c r="M159" s="566">
        <v>4119</v>
      </c>
      <c r="N159" s="561">
        <v>5505</v>
      </c>
      <c r="O159" s="537"/>
      <c r="P159" s="537"/>
      <c r="Q159" s="566"/>
      <c r="R159" s="566"/>
      <c r="S159" s="566"/>
      <c r="T159" s="566"/>
    </row>
    <row r="160" spans="1:20" ht="15" hidden="1" customHeight="1" x14ac:dyDescent="0.25">
      <c r="A160" s="516"/>
      <c r="B160" s="762" t="s">
        <v>371</v>
      </c>
      <c r="C160" s="910"/>
      <c r="D160" s="873"/>
      <c r="E160" s="706">
        <v>70</v>
      </c>
      <c r="F160" s="707">
        <v>0</v>
      </c>
      <c r="G160" s="1018">
        <v>2030</v>
      </c>
      <c r="H160" s="510">
        <f t="shared" si="21"/>
        <v>395</v>
      </c>
      <c r="I160" s="566">
        <v>246</v>
      </c>
      <c r="J160" s="537">
        <v>0</v>
      </c>
      <c r="K160" s="696">
        <v>149</v>
      </c>
      <c r="L160" s="566"/>
      <c r="M160" s="566"/>
      <c r="N160" s="561"/>
      <c r="O160" s="561"/>
      <c r="P160" s="561"/>
      <c r="Q160" s="566"/>
      <c r="R160" s="566"/>
      <c r="S160" s="566"/>
      <c r="T160" s="566"/>
    </row>
    <row r="161" spans="1:21" ht="15" customHeight="1" x14ac:dyDescent="0.25">
      <c r="A161" s="516"/>
      <c r="B161" s="534" t="s">
        <v>356</v>
      </c>
      <c r="C161" s="911"/>
      <c r="D161" s="873"/>
      <c r="E161" s="706">
        <v>162447</v>
      </c>
      <c r="F161" s="707">
        <v>153019</v>
      </c>
      <c r="G161" s="1018">
        <v>186351</v>
      </c>
      <c r="H161" s="523">
        <f>SUM(I161:T161)</f>
        <v>87006</v>
      </c>
      <c r="I161" s="537">
        <v>16950</v>
      </c>
      <c r="J161" s="823">
        <v>16288</v>
      </c>
      <c r="K161" s="566">
        <v>13719</v>
      </c>
      <c r="L161" s="566">
        <v>15376</v>
      </c>
      <c r="M161" s="566">
        <v>11695</v>
      </c>
      <c r="N161" s="561">
        <v>12978</v>
      </c>
      <c r="O161" s="566"/>
      <c r="P161" s="566"/>
      <c r="Q161" s="566"/>
      <c r="R161" s="566"/>
      <c r="S161" s="566"/>
      <c r="T161" s="1012"/>
    </row>
    <row r="162" spans="1:21" ht="15" customHeight="1" x14ac:dyDescent="0.25">
      <c r="A162" s="516"/>
      <c r="B162" s="762" t="s">
        <v>357</v>
      </c>
      <c r="C162" s="910"/>
      <c r="D162" s="873"/>
      <c r="E162" s="706">
        <v>160169</v>
      </c>
      <c r="F162" s="707">
        <v>151149</v>
      </c>
      <c r="G162" s="1018">
        <v>181489</v>
      </c>
      <c r="H162" s="523">
        <f>SUM(I162:T162)</f>
        <v>84922</v>
      </c>
      <c r="I162" s="696">
        <v>16863</v>
      </c>
      <c r="J162" s="823">
        <v>15932</v>
      </c>
      <c r="K162" s="566">
        <v>13378</v>
      </c>
      <c r="L162" s="566">
        <v>14867</v>
      </c>
      <c r="M162" s="566">
        <v>11311</v>
      </c>
      <c r="N162" s="561">
        <v>12571</v>
      </c>
      <c r="O162" s="566"/>
      <c r="P162" s="566"/>
      <c r="Q162" s="566"/>
      <c r="R162" s="566"/>
      <c r="S162" s="566"/>
      <c r="T162" s="1012"/>
    </row>
    <row r="163" spans="1:21" ht="15" customHeight="1" x14ac:dyDescent="0.25">
      <c r="A163" s="516"/>
      <c r="B163" s="761" t="s">
        <v>358</v>
      </c>
      <c r="C163" s="906"/>
      <c r="D163" s="872"/>
      <c r="E163" s="938">
        <v>0.98455833333333354</v>
      </c>
      <c r="F163" s="939">
        <v>0.98677500000000007</v>
      </c>
      <c r="G163" s="1023">
        <v>0.97317115096340301</v>
      </c>
      <c r="H163" s="946">
        <f>AVERAGE(I163:T163)</f>
        <v>0.97514263150098224</v>
      </c>
      <c r="I163" s="828">
        <f>I162/I161</f>
        <v>0.99486725663716813</v>
      </c>
      <c r="J163" s="828">
        <f>J162/J161</f>
        <v>0.97814341846758346</v>
      </c>
      <c r="K163" s="828">
        <f>K162/K161</f>
        <v>0.97514396093009692</v>
      </c>
      <c r="L163" s="828">
        <f>L162/L161</f>
        <v>0.96689646201873047</v>
      </c>
      <c r="M163" s="828">
        <f t="shared" ref="M163:N163" si="22">M162/M161</f>
        <v>0.96716545532278753</v>
      </c>
      <c r="N163" s="828">
        <f t="shared" si="22"/>
        <v>0.96863923562952692</v>
      </c>
      <c r="O163" s="827"/>
      <c r="P163" s="827"/>
      <c r="Q163" s="827"/>
      <c r="R163" s="827"/>
      <c r="S163" s="827"/>
      <c r="T163" s="827"/>
    </row>
    <row r="164" spans="1:21" s="655" customFormat="1" ht="15.95" customHeight="1" thickBot="1" x14ac:dyDescent="0.3">
      <c r="A164" s="654"/>
      <c r="B164" s="1048" t="s">
        <v>438</v>
      </c>
      <c r="C164" s="1049"/>
      <c r="D164" s="1049"/>
      <c r="E164" s="1049"/>
      <c r="F164" s="1049"/>
      <c r="G164" s="1049"/>
      <c r="H164" s="1049"/>
      <c r="I164" s="1049"/>
      <c r="J164" s="1049"/>
      <c r="K164" s="1049"/>
      <c r="L164" s="1049"/>
      <c r="M164" s="1049"/>
      <c r="N164" s="1049"/>
      <c r="O164" s="1049"/>
      <c r="P164" s="1049"/>
      <c r="Q164" s="1049"/>
      <c r="R164" s="1049"/>
      <c r="S164" s="1049"/>
      <c r="T164" s="1050"/>
    </row>
    <row r="165" spans="1:21" ht="32.25" customHeight="1" thickBot="1" x14ac:dyDescent="0.3">
      <c r="A165" s="516"/>
      <c r="B165" s="1011" t="s">
        <v>430</v>
      </c>
      <c r="C165" s="909" t="s">
        <v>431</v>
      </c>
      <c r="D165" s="871"/>
      <c r="E165" s="686">
        <v>5168</v>
      </c>
      <c r="F165" s="697">
        <v>2699</v>
      </c>
      <c r="G165" s="1024">
        <v>2810</v>
      </c>
      <c r="H165" s="529">
        <f>SUM(I165:U165)</f>
        <v>2524</v>
      </c>
      <c r="I165" s="511">
        <v>439</v>
      </c>
      <c r="J165" s="511">
        <v>591</v>
      </c>
      <c r="K165" s="511">
        <v>443</v>
      </c>
      <c r="L165" s="1006">
        <v>584</v>
      </c>
      <c r="M165" s="511">
        <v>467</v>
      </c>
      <c r="N165" s="511"/>
      <c r="O165" s="512"/>
      <c r="P165" s="512"/>
      <c r="Q165" s="512"/>
      <c r="R165" s="512"/>
      <c r="S165" s="512"/>
      <c r="T165" s="512"/>
    </row>
    <row r="166" spans="1:21" ht="23.45" customHeight="1" x14ac:dyDescent="0.25">
      <c r="A166" s="516"/>
      <c r="B166" s="760" t="s">
        <v>361</v>
      </c>
      <c r="C166" s="909" t="s">
        <v>431</v>
      </c>
      <c r="D166" s="874"/>
      <c r="E166" s="686">
        <v>3802</v>
      </c>
      <c r="F166" s="697">
        <v>336</v>
      </c>
      <c r="G166" s="1025">
        <v>148</v>
      </c>
      <c r="H166" s="529">
        <f t="shared" ref="H166:H171" si="23">SUM(I166:U166)</f>
        <v>581</v>
      </c>
      <c r="I166" s="1006">
        <v>1</v>
      </c>
      <c r="J166" s="1006">
        <v>372</v>
      </c>
      <c r="K166" s="1006">
        <v>151</v>
      </c>
      <c r="L166" s="696">
        <v>25</v>
      </c>
      <c r="M166" s="1006">
        <v>32</v>
      </c>
      <c r="N166" s="1006"/>
      <c r="O166" s="968"/>
      <c r="P166" s="968"/>
      <c r="Q166" s="968"/>
      <c r="R166" s="968"/>
      <c r="S166" s="968"/>
      <c r="T166" s="968"/>
    </row>
    <row r="167" spans="1:21" ht="24.75" customHeight="1" x14ac:dyDescent="0.25">
      <c r="A167" s="516"/>
      <c r="B167" s="760" t="s">
        <v>434</v>
      </c>
      <c r="C167" s="909" t="s">
        <v>431</v>
      </c>
      <c r="D167" s="874"/>
      <c r="E167" s="686">
        <v>0</v>
      </c>
      <c r="F167" s="697">
        <v>0</v>
      </c>
      <c r="G167" s="1025">
        <v>18</v>
      </c>
      <c r="H167" s="529">
        <f t="shared" si="23"/>
        <v>496</v>
      </c>
      <c r="I167" s="511">
        <v>23</v>
      </c>
      <c r="J167" s="520">
        <v>0</v>
      </c>
      <c r="K167" s="520">
        <v>0</v>
      </c>
      <c r="L167" s="520">
        <v>203</v>
      </c>
      <c r="M167" s="520">
        <v>270</v>
      </c>
      <c r="N167" s="520"/>
      <c r="O167" s="520"/>
      <c r="P167" s="520"/>
      <c r="Q167" s="520"/>
      <c r="R167" s="520"/>
      <c r="S167" s="520"/>
      <c r="T167" s="520"/>
    </row>
    <row r="168" spans="1:21" ht="23.45" customHeight="1" x14ac:dyDescent="0.25">
      <c r="A168" s="516"/>
      <c r="B168" s="760" t="s">
        <v>432</v>
      </c>
      <c r="C168" s="909" t="s">
        <v>431</v>
      </c>
      <c r="D168" s="874"/>
      <c r="E168" s="686">
        <v>26</v>
      </c>
      <c r="F168" s="697">
        <v>139</v>
      </c>
      <c r="G168" s="1025">
        <v>136</v>
      </c>
      <c r="H168" s="529">
        <f t="shared" si="23"/>
        <v>20</v>
      </c>
      <c r="I168" s="511">
        <v>0</v>
      </c>
      <c r="J168" s="520">
        <v>15</v>
      </c>
      <c r="K168" s="520">
        <v>0</v>
      </c>
      <c r="L168" s="520">
        <v>0</v>
      </c>
      <c r="M168" s="520">
        <v>5</v>
      </c>
      <c r="N168" s="520"/>
      <c r="O168" s="520"/>
      <c r="P168" s="520"/>
      <c r="Q168" s="520"/>
      <c r="R168" s="520"/>
      <c r="S168" s="520"/>
    </row>
    <row r="169" spans="1:21" ht="23.45" customHeight="1" x14ac:dyDescent="0.25">
      <c r="A169" s="516"/>
      <c r="B169" s="760" t="s">
        <v>364</v>
      </c>
      <c r="C169" s="909" t="s">
        <v>431</v>
      </c>
      <c r="D169" s="874"/>
      <c r="E169" s="686">
        <v>463</v>
      </c>
      <c r="F169" s="697">
        <v>817</v>
      </c>
      <c r="G169" s="1025">
        <v>990</v>
      </c>
      <c r="H169" s="529">
        <f t="shared" si="23"/>
        <v>420</v>
      </c>
      <c r="I169" s="519">
        <v>151</v>
      </c>
      <c r="J169" s="520">
        <v>111</v>
      </c>
      <c r="K169" s="520">
        <v>86</v>
      </c>
      <c r="L169" s="520">
        <v>23</v>
      </c>
      <c r="M169" s="520">
        <v>49</v>
      </c>
      <c r="N169" s="520"/>
      <c r="O169" s="807"/>
      <c r="P169" s="520"/>
      <c r="Q169" s="520"/>
      <c r="R169" s="520"/>
      <c r="S169" s="520"/>
      <c r="T169" s="520"/>
    </row>
    <row r="170" spans="1:21" ht="23.45" customHeight="1" x14ac:dyDescent="0.25">
      <c r="A170" s="516"/>
      <c r="B170" s="760" t="s">
        <v>433</v>
      </c>
      <c r="C170" s="909" t="s">
        <v>431</v>
      </c>
      <c r="D170" s="873"/>
      <c r="E170" s="686">
        <v>807</v>
      </c>
      <c r="F170" s="697">
        <v>1000</v>
      </c>
      <c r="G170" s="1025">
        <v>1280</v>
      </c>
      <c r="H170" s="529">
        <f t="shared" si="23"/>
        <v>788</v>
      </c>
      <c r="I170" s="519">
        <v>234</v>
      </c>
      <c r="J170" s="520">
        <v>82</v>
      </c>
      <c r="K170" s="520">
        <v>141</v>
      </c>
      <c r="L170" s="520">
        <v>288</v>
      </c>
      <c r="M170" s="520">
        <v>43</v>
      </c>
      <c r="N170" s="520"/>
      <c r="O170" s="520"/>
      <c r="P170" s="520"/>
      <c r="Q170" s="520"/>
      <c r="R170" s="520"/>
      <c r="S170" s="520"/>
      <c r="T170" s="520"/>
    </row>
    <row r="171" spans="1:21" ht="23.45" customHeight="1" x14ac:dyDescent="0.25">
      <c r="A171" s="516"/>
      <c r="B171" s="1010" t="s">
        <v>366</v>
      </c>
      <c r="C171" s="909" t="s">
        <v>431</v>
      </c>
      <c r="D171" s="872"/>
      <c r="E171" s="686">
        <v>70</v>
      </c>
      <c r="F171" s="697">
        <v>471</v>
      </c>
      <c r="G171" s="1026">
        <v>294</v>
      </c>
      <c r="H171" s="529">
        <f t="shared" si="23"/>
        <v>219</v>
      </c>
      <c r="I171" s="524">
        <v>30</v>
      </c>
      <c r="J171" s="525">
        <v>11</v>
      </c>
      <c r="K171" s="525">
        <v>65</v>
      </c>
      <c r="L171" s="525">
        <v>45</v>
      </c>
      <c r="M171" s="525">
        <v>68</v>
      </c>
      <c r="N171" s="525"/>
      <c r="O171" s="525"/>
      <c r="P171" s="525"/>
      <c r="Q171" s="525"/>
      <c r="R171" s="525"/>
      <c r="S171" s="525"/>
      <c r="T171" s="525"/>
    </row>
    <row r="172" spans="1:21" s="655" customFormat="1" ht="15.95" customHeight="1" x14ac:dyDescent="0.25">
      <c r="A172" s="654"/>
      <c r="B172" s="1041" t="s">
        <v>267</v>
      </c>
      <c r="C172" s="1042"/>
      <c r="D172" s="1042"/>
      <c r="E172" s="1042"/>
      <c r="F172" s="1042"/>
      <c r="G172" s="1042"/>
      <c r="H172" s="1042"/>
      <c r="I172" s="1042"/>
      <c r="J172" s="1042"/>
      <c r="K172" s="1042"/>
      <c r="L172" s="1042"/>
      <c r="M172" s="1042"/>
      <c r="N172" s="1042"/>
      <c r="O172" s="1042"/>
      <c r="P172" s="1042"/>
      <c r="Q172" s="1042"/>
      <c r="R172" s="1042"/>
      <c r="S172" s="1042"/>
      <c r="T172" s="1043"/>
    </row>
    <row r="173" spans="1:21" ht="15" customHeight="1" x14ac:dyDescent="0.25">
      <c r="A173" s="516"/>
      <c r="B173" s="536" t="s">
        <v>274</v>
      </c>
      <c r="E173" s="923">
        <v>16799137.490000002</v>
      </c>
      <c r="F173" s="923">
        <v>15946063.390000001</v>
      </c>
      <c r="G173" s="1014">
        <v>15420585.520000001</v>
      </c>
      <c r="H173" s="591">
        <f>SUM(I173:U173)</f>
        <v>7328748.2000000002</v>
      </c>
      <c r="I173" s="1028">
        <v>1204487.94</v>
      </c>
      <c r="J173" s="962">
        <v>1270956.67</v>
      </c>
      <c r="K173" s="1037">
        <v>1197179.05</v>
      </c>
      <c r="L173" s="963">
        <v>1250545</v>
      </c>
      <c r="M173" s="863">
        <v>1179088.2</v>
      </c>
      <c r="N173" s="850">
        <v>1226491.3400000001</v>
      </c>
      <c r="O173" s="850"/>
      <c r="P173" s="850"/>
      <c r="Q173" s="600"/>
      <c r="R173" s="601"/>
      <c r="S173" s="602"/>
      <c r="T173" s="603"/>
    </row>
    <row r="174" spans="1:21" s="655" customFormat="1" ht="15.95" customHeight="1" x14ac:dyDescent="0.25">
      <c r="A174" s="654"/>
      <c r="B174" s="1044" t="s">
        <v>268</v>
      </c>
      <c r="C174" s="1045"/>
      <c r="D174" s="1045"/>
      <c r="E174" s="1045"/>
      <c r="F174" s="1045"/>
      <c r="G174" s="1045"/>
      <c r="H174" s="1045"/>
      <c r="I174" s="1045"/>
      <c r="J174" s="1045"/>
      <c r="K174" s="1045"/>
      <c r="L174" s="1045"/>
      <c r="M174" s="1045"/>
      <c r="N174" s="1045"/>
      <c r="O174" s="1045"/>
      <c r="P174" s="1045"/>
      <c r="Q174" s="1045"/>
      <c r="R174" s="1045"/>
      <c r="S174" s="1045"/>
      <c r="T174" s="1046"/>
    </row>
    <row r="175" spans="1:21" ht="20.25" customHeight="1" x14ac:dyDescent="0.25">
      <c r="A175" s="516"/>
      <c r="B175" s="536" t="s">
        <v>367</v>
      </c>
      <c r="E175" s="712"/>
      <c r="F175" s="698"/>
      <c r="G175" s="506"/>
      <c r="H175" s="506"/>
      <c r="I175" s="1033">
        <v>126239</v>
      </c>
      <c r="J175" s="678">
        <v>126319</v>
      </c>
      <c r="K175" s="678">
        <v>126733</v>
      </c>
      <c r="L175" s="678">
        <v>126768</v>
      </c>
      <c r="M175" s="678">
        <v>126877</v>
      </c>
      <c r="N175" s="531">
        <v>127002</v>
      </c>
      <c r="O175" s="678"/>
      <c r="P175" s="678"/>
      <c r="Q175" s="678"/>
      <c r="R175" s="678"/>
      <c r="S175" s="679"/>
      <c r="T175" s="949"/>
    </row>
    <row r="176" spans="1:21" ht="23.25" customHeight="1" x14ac:dyDescent="0.2">
      <c r="A176" s="751"/>
      <c r="B176" s="752" t="s">
        <v>439</v>
      </c>
      <c r="C176" s="919"/>
      <c r="D176" s="882"/>
      <c r="E176" s="713"/>
      <c r="F176" s="699"/>
      <c r="G176" s="714"/>
      <c r="H176" s="714"/>
      <c r="I176" s="1029">
        <f>I175/U176</f>
        <v>0.38708658616608305</v>
      </c>
      <c r="J176" s="1029">
        <f>J175/U176</f>
        <v>0.38733189012835528</v>
      </c>
      <c r="K176" s="1029">
        <f>K175/U176</f>
        <v>0.3886013381331142</v>
      </c>
      <c r="L176" s="1029">
        <f>L175/U176</f>
        <v>0.3887086586166083</v>
      </c>
      <c r="M176" s="1029">
        <f>M175/U176</f>
        <v>0.38904288526520425</v>
      </c>
      <c r="N176" s="1029">
        <f>N175/U176</f>
        <v>0.38942617270625463</v>
      </c>
      <c r="O176" s="1029"/>
      <c r="P176" s="1029"/>
      <c r="Q176" s="1029"/>
      <c r="R176" s="1029"/>
      <c r="S176" s="1029"/>
      <c r="T176" s="1029"/>
      <c r="U176" s="951">
        <v>326126</v>
      </c>
    </row>
    <row r="178" spans="2:20" ht="15" hidden="1" customHeight="1" x14ac:dyDescent="0.25">
      <c r="B178" s="604" t="s">
        <v>200</v>
      </c>
      <c r="C178" s="605"/>
      <c r="D178" s="883"/>
      <c r="E178" s="605"/>
      <c r="F178" s="605"/>
      <c r="G178" s="605"/>
      <c r="H178" s="605"/>
      <c r="I178" s="605"/>
      <c r="J178" s="605"/>
      <c r="K178" s="605"/>
      <c r="L178" s="605"/>
      <c r="M178" s="605"/>
      <c r="N178" s="986"/>
      <c r="O178" s="605"/>
      <c r="P178" s="605"/>
      <c r="Q178" s="605"/>
      <c r="R178" s="605"/>
      <c r="S178" s="605"/>
      <c r="T178" s="606"/>
    </row>
    <row r="179" spans="2:20" hidden="1" x14ac:dyDescent="0.25">
      <c r="B179" s="753" t="s">
        <v>174</v>
      </c>
      <c r="C179" s="754"/>
      <c r="D179" s="884"/>
      <c r="E179" s="754"/>
      <c r="F179" s="754"/>
      <c r="G179" s="754"/>
      <c r="H179" s="754"/>
      <c r="I179" s="754"/>
      <c r="J179" s="754"/>
      <c r="K179" s="754"/>
      <c r="L179" s="754"/>
      <c r="M179" s="754"/>
      <c r="N179" s="987"/>
      <c r="O179" s="754"/>
      <c r="P179" s="754"/>
      <c r="Q179" s="754"/>
      <c r="R179" s="754"/>
      <c r="S179" s="754"/>
      <c r="T179" s="755"/>
    </row>
    <row r="180" spans="2:20" ht="15" hidden="1" customHeight="1" x14ac:dyDescent="0.25">
      <c r="B180" s="756" t="s">
        <v>181</v>
      </c>
      <c r="C180" s="920"/>
      <c r="D180" s="885"/>
      <c r="E180" s="757"/>
      <c r="F180" s="757"/>
      <c r="G180" s="757"/>
      <c r="H180" s="757"/>
      <c r="I180" s="757"/>
      <c r="J180" s="757"/>
      <c r="K180" s="757"/>
      <c r="L180" s="757"/>
      <c r="M180" s="757"/>
      <c r="N180" s="988"/>
      <c r="O180" s="757"/>
      <c r="P180" s="757"/>
      <c r="Q180" s="757"/>
      <c r="R180" s="757"/>
      <c r="S180" s="757"/>
      <c r="T180" s="758"/>
    </row>
    <row r="181" spans="2:20" ht="15" hidden="1" customHeight="1" x14ac:dyDescent="0.25">
      <c r="B181" s="509" t="s">
        <v>4</v>
      </c>
      <c r="C181" s="750"/>
      <c r="E181" s="607"/>
      <c r="F181" s="608" t="s">
        <v>214</v>
      </c>
      <c r="G181" s="609" t="e">
        <f>AVERAGE(I181:T181)</f>
        <v>#DIV/0!</v>
      </c>
      <c r="H181" s="609" t="e">
        <f>AVERAGE(J181:U181)</f>
        <v>#DIV/0!</v>
      </c>
      <c r="I181" s="511"/>
      <c r="J181" s="512"/>
      <c r="K181" s="512"/>
      <c r="L181" s="512"/>
      <c r="M181" s="512"/>
      <c r="N181" s="850"/>
      <c r="O181" s="512"/>
      <c r="P181" s="610"/>
      <c r="Q181" s="610"/>
      <c r="R181" s="610"/>
      <c r="S181" s="610"/>
      <c r="T181" s="611"/>
    </row>
    <row r="182" spans="2:20" ht="15" hidden="1" customHeight="1" x14ac:dyDescent="0.25">
      <c r="B182" s="522" t="s">
        <v>177</v>
      </c>
      <c r="C182" s="750"/>
      <c r="E182" s="607"/>
      <c r="F182" s="612" t="s">
        <v>215</v>
      </c>
      <c r="G182" s="613" t="e">
        <f>AVERAGE(I182:T182)</f>
        <v>#DIV/0!</v>
      </c>
      <c r="H182" s="613" t="e">
        <f>AVERAGE(J182:U182)</f>
        <v>#DIV/0!</v>
      </c>
      <c r="I182" s="614"/>
      <c r="J182" s="614"/>
      <c r="K182" s="614"/>
      <c r="L182" s="614"/>
      <c r="M182" s="614"/>
      <c r="N182" s="989"/>
      <c r="O182" s="614"/>
      <c r="P182" s="615"/>
      <c r="Q182" s="615"/>
      <c r="R182" s="615"/>
      <c r="S182" s="615"/>
      <c r="T182" s="616"/>
    </row>
    <row r="183" spans="2:20" ht="15" hidden="1" customHeight="1" x14ac:dyDescent="0.25">
      <c r="B183" s="522" t="s">
        <v>180</v>
      </c>
      <c r="C183" s="750"/>
      <c r="E183" s="607"/>
      <c r="F183" s="612" t="s">
        <v>216</v>
      </c>
      <c r="G183" s="613" t="e">
        <f>((ROUND(G181/G182,0)&amp;" : "&amp;"1"))</f>
        <v>#DIV/0!</v>
      </c>
      <c r="H183" s="613" t="e">
        <f>((ROUND(H181/H182,0)&amp;" : "&amp;"1"))</f>
        <v>#DIV/0!</v>
      </c>
      <c r="I183" s="614" t="e">
        <f>((ROUND(I181/I182,0)&amp;" : "&amp;"1"))</f>
        <v>#DIV/0!</v>
      </c>
      <c r="J183" s="614" t="e">
        <f t="shared" ref="J183:T183" si="24">((ROUND(J181/J182,0)&amp;" : "&amp;"1"))</f>
        <v>#DIV/0!</v>
      </c>
      <c r="K183" s="614" t="e">
        <f t="shared" si="24"/>
        <v>#DIV/0!</v>
      </c>
      <c r="L183" s="614" t="e">
        <f t="shared" si="24"/>
        <v>#DIV/0!</v>
      </c>
      <c r="M183" s="614" t="e">
        <f t="shared" si="24"/>
        <v>#DIV/0!</v>
      </c>
      <c r="N183" s="989" t="e">
        <f t="shared" si="24"/>
        <v>#DIV/0!</v>
      </c>
      <c r="O183" s="614" t="e">
        <f t="shared" si="24"/>
        <v>#DIV/0!</v>
      </c>
      <c r="P183" s="614" t="e">
        <f t="shared" si="24"/>
        <v>#DIV/0!</v>
      </c>
      <c r="Q183" s="614" t="e">
        <f t="shared" si="24"/>
        <v>#DIV/0!</v>
      </c>
      <c r="R183" s="614" t="e">
        <f t="shared" si="24"/>
        <v>#DIV/0!</v>
      </c>
      <c r="S183" s="614" t="e">
        <f t="shared" si="24"/>
        <v>#DIV/0!</v>
      </c>
      <c r="T183" s="616" t="e">
        <f t="shared" si="24"/>
        <v>#DIV/0!</v>
      </c>
    </row>
    <row r="184" spans="2:20" ht="15" hidden="1" customHeight="1" x14ac:dyDescent="0.25">
      <c r="B184" s="514" t="s">
        <v>179</v>
      </c>
      <c r="C184" s="750"/>
      <c r="E184" s="607"/>
      <c r="F184" s="617" t="s">
        <v>184</v>
      </c>
      <c r="G184" s="618" t="s">
        <v>184</v>
      </c>
      <c r="H184" s="618" t="s">
        <v>184</v>
      </c>
      <c r="I184" s="619" t="s">
        <v>184</v>
      </c>
      <c r="J184" s="619" t="s">
        <v>184</v>
      </c>
      <c r="K184" s="619" t="s">
        <v>184</v>
      </c>
      <c r="L184" s="619" t="s">
        <v>184</v>
      </c>
      <c r="M184" s="619" t="s">
        <v>184</v>
      </c>
      <c r="N184" s="990" t="s">
        <v>184</v>
      </c>
      <c r="O184" s="619" t="s">
        <v>184</v>
      </c>
      <c r="P184" s="619" t="s">
        <v>184</v>
      </c>
      <c r="Q184" s="619" t="s">
        <v>184</v>
      </c>
      <c r="R184" s="619" t="s">
        <v>184</v>
      </c>
      <c r="S184" s="619" t="s">
        <v>184</v>
      </c>
      <c r="T184" s="620" t="s">
        <v>184</v>
      </c>
    </row>
    <row r="185" spans="2:20" ht="15" hidden="1" customHeight="1" x14ac:dyDescent="0.25">
      <c r="B185" s="756" t="s">
        <v>191</v>
      </c>
      <c r="C185" s="920"/>
      <c r="D185" s="885"/>
      <c r="E185" s="621"/>
      <c r="F185" s="622"/>
      <c r="G185" s="622"/>
      <c r="H185" s="622"/>
      <c r="I185" s="622"/>
      <c r="J185" s="622"/>
      <c r="K185" s="622"/>
      <c r="L185" s="622"/>
      <c r="M185" s="622"/>
      <c r="N185" s="991"/>
      <c r="O185" s="622"/>
      <c r="P185" s="622"/>
      <c r="Q185" s="622"/>
      <c r="R185" s="622"/>
      <c r="S185" s="622"/>
      <c r="T185" s="623"/>
    </row>
    <row r="186" spans="2:20" ht="15" hidden="1" customHeight="1" x14ac:dyDescent="0.25">
      <c r="B186" s="509" t="s">
        <v>178</v>
      </c>
      <c r="C186" s="750"/>
      <c r="E186" s="607"/>
      <c r="F186" s="608" t="s">
        <v>217</v>
      </c>
      <c r="G186" s="624" t="e">
        <f>AVERAGE(I186:T186)</f>
        <v>#DIV/0!</v>
      </c>
      <c r="H186" s="624" t="e">
        <f>AVERAGE(J186:U186)</f>
        <v>#DIV/0!</v>
      </c>
      <c r="I186" s="625"/>
      <c r="J186" s="625"/>
      <c r="K186" s="625"/>
      <c r="L186" s="625"/>
      <c r="M186" s="625"/>
      <c r="N186" s="992"/>
      <c r="O186" s="625"/>
      <c r="P186" s="625"/>
      <c r="Q186" s="625"/>
      <c r="R186" s="610"/>
      <c r="S186" s="610"/>
      <c r="T186" s="611"/>
    </row>
    <row r="187" spans="2:20" ht="15" hidden="1" customHeight="1" x14ac:dyDescent="0.25">
      <c r="B187" s="522" t="s">
        <v>177</v>
      </c>
      <c r="C187" s="750"/>
      <c r="E187" s="607"/>
      <c r="F187" s="612" t="s">
        <v>218</v>
      </c>
      <c r="G187" s="626" t="e">
        <f>AVERAGE(I187:T187)</f>
        <v>#DIV/0!</v>
      </c>
      <c r="H187" s="626" t="e">
        <f>AVERAGE(J187:U187)</f>
        <v>#DIV/0!</v>
      </c>
      <c r="I187" s="627"/>
      <c r="J187" s="627"/>
      <c r="K187" s="627"/>
      <c r="L187" s="627"/>
      <c r="M187" s="627"/>
      <c r="N187" s="993"/>
      <c r="O187" s="627"/>
      <c r="P187" s="627"/>
      <c r="Q187" s="627"/>
      <c r="R187" s="615"/>
      <c r="S187" s="615"/>
      <c r="T187" s="616"/>
    </row>
    <row r="188" spans="2:20" ht="15" hidden="1" customHeight="1" x14ac:dyDescent="0.25">
      <c r="B188" s="522" t="s">
        <v>180</v>
      </c>
      <c r="C188" s="750"/>
      <c r="E188" s="607"/>
      <c r="F188" s="612" t="s">
        <v>219</v>
      </c>
      <c r="G188" s="626" t="e">
        <f>((ROUND(G186/G187,0)&amp;" : "&amp;"1"))</f>
        <v>#DIV/0!</v>
      </c>
      <c r="H188" s="626" t="e">
        <f>((ROUND(H186/H187,0)&amp;" : "&amp;"1"))</f>
        <v>#DIV/0!</v>
      </c>
      <c r="I188" s="627" t="s">
        <v>136</v>
      </c>
      <c r="J188" s="627" t="s">
        <v>136</v>
      </c>
      <c r="K188" s="615" t="e">
        <f t="shared" ref="K188:T188" si="25">((ROUND(K186/K187,0)&amp;" : "&amp;"1"))</f>
        <v>#DIV/0!</v>
      </c>
      <c r="L188" s="615" t="e">
        <f t="shared" si="25"/>
        <v>#DIV/0!</v>
      </c>
      <c r="M188" s="615" t="e">
        <f t="shared" si="25"/>
        <v>#DIV/0!</v>
      </c>
      <c r="N188" s="975" t="e">
        <f t="shared" si="25"/>
        <v>#DIV/0!</v>
      </c>
      <c r="O188" s="615" t="e">
        <f t="shared" si="25"/>
        <v>#DIV/0!</v>
      </c>
      <c r="P188" s="615" t="e">
        <f t="shared" si="25"/>
        <v>#DIV/0!</v>
      </c>
      <c r="Q188" s="615" t="e">
        <f t="shared" si="25"/>
        <v>#DIV/0!</v>
      </c>
      <c r="R188" s="615" t="e">
        <f t="shared" si="25"/>
        <v>#DIV/0!</v>
      </c>
      <c r="S188" s="615" t="e">
        <f t="shared" si="25"/>
        <v>#DIV/0!</v>
      </c>
      <c r="T188" s="616" t="e">
        <f t="shared" si="25"/>
        <v>#DIV/0!</v>
      </c>
    </row>
    <row r="189" spans="2:20" ht="15" hidden="1" customHeight="1" x14ac:dyDescent="0.25">
      <c r="B189" s="514" t="s">
        <v>179</v>
      </c>
      <c r="C189" s="750"/>
      <c r="E189" s="607"/>
      <c r="F189" s="617" t="s">
        <v>185</v>
      </c>
      <c r="G189" s="618" t="s">
        <v>185</v>
      </c>
      <c r="H189" s="618" t="s">
        <v>185</v>
      </c>
      <c r="I189" s="619" t="s">
        <v>185</v>
      </c>
      <c r="J189" s="619" t="s">
        <v>185</v>
      </c>
      <c r="K189" s="628" t="s">
        <v>185</v>
      </c>
      <c r="L189" s="628" t="s">
        <v>185</v>
      </c>
      <c r="M189" s="628" t="s">
        <v>185</v>
      </c>
      <c r="N189" s="551" t="s">
        <v>185</v>
      </c>
      <c r="O189" s="628" t="s">
        <v>185</v>
      </c>
      <c r="P189" s="628" t="s">
        <v>185</v>
      </c>
      <c r="Q189" s="628" t="s">
        <v>185</v>
      </c>
      <c r="R189" s="628" t="s">
        <v>185</v>
      </c>
      <c r="S189" s="628" t="s">
        <v>185</v>
      </c>
      <c r="T189" s="620" t="s">
        <v>185</v>
      </c>
    </row>
    <row r="190" spans="2:20" ht="15" hidden="1" customHeight="1" x14ac:dyDescent="0.25">
      <c r="B190" s="756" t="s">
        <v>182</v>
      </c>
      <c r="C190" s="920"/>
      <c r="D190" s="885"/>
      <c r="E190" s="621"/>
      <c r="F190" s="622"/>
      <c r="G190" s="622"/>
      <c r="H190" s="622"/>
      <c r="I190" s="622"/>
      <c r="J190" s="622"/>
      <c r="K190" s="622"/>
      <c r="L190" s="622"/>
      <c r="M190" s="622"/>
      <c r="N190" s="991"/>
      <c r="O190" s="622"/>
      <c r="P190" s="622"/>
      <c r="Q190" s="622"/>
      <c r="R190" s="622"/>
      <c r="S190" s="622"/>
      <c r="T190" s="623"/>
    </row>
    <row r="191" spans="2:20" ht="15" hidden="1" customHeight="1" x14ac:dyDescent="0.25">
      <c r="B191" s="509" t="s">
        <v>178</v>
      </c>
      <c r="C191" s="750"/>
      <c r="E191" s="607"/>
      <c r="F191" s="608" t="s">
        <v>220</v>
      </c>
      <c r="G191" s="609" t="e">
        <f>AVERAGE(I191:T191)</f>
        <v>#DIV/0!</v>
      </c>
      <c r="H191" s="609" t="e">
        <f>AVERAGE(J191:U191)</f>
        <v>#DIV/0!</v>
      </c>
      <c r="I191" s="629"/>
      <c r="J191" s="512"/>
      <c r="K191" s="512"/>
      <c r="L191" s="512"/>
      <c r="M191" s="512"/>
      <c r="N191" s="850"/>
      <c r="O191" s="512"/>
      <c r="P191" s="610"/>
      <c r="Q191" s="610"/>
      <c r="R191" s="610"/>
      <c r="S191" s="610"/>
      <c r="T191" s="611"/>
    </row>
    <row r="192" spans="2:20" ht="15" hidden="1" customHeight="1" x14ac:dyDescent="0.25">
      <c r="B192" s="522" t="s">
        <v>177</v>
      </c>
      <c r="C192" s="750"/>
      <c r="E192" s="607"/>
      <c r="F192" s="612" t="s">
        <v>221</v>
      </c>
      <c r="G192" s="613" t="e">
        <f>AVERAGE(I192:T192)</f>
        <v>#DIV/0!</v>
      </c>
      <c r="H192" s="613" t="e">
        <f>AVERAGE(J192:U192)</f>
        <v>#DIV/0!</v>
      </c>
      <c r="I192" s="630"/>
      <c r="J192" s="520"/>
      <c r="K192" s="615"/>
      <c r="L192" s="520"/>
      <c r="M192" s="520"/>
      <c r="N192" s="975"/>
      <c r="O192" s="520"/>
      <c r="P192" s="615"/>
      <c r="Q192" s="615"/>
      <c r="R192" s="615"/>
      <c r="S192" s="615"/>
      <c r="T192" s="616"/>
    </row>
    <row r="193" spans="2:20" ht="15" hidden="1" customHeight="1" x14ac:dyDescent="0.25">
      <c r="B193" s="522" t="s">
        <v>180</v>
      </c>
      <c r="C193" s="750"/>
      <c r="E193" s="607"/>
      <c r="F193" s="612" t="s">
        <v>222</v>
      </c>
      <c r="G193" s="613" t="e">
        <f>((ROUND(G191/G192,0)&amp;" : "&amp;"1"))</f>
        <v>#DIV/0!</v>
      </c>
      <c r="H193" s="613" t="e">
        <f>((ROUND(H191/H192,0)&amp;" : "&amp;"1"))</f>
        <v>#DIV/0!</v>
      </c>
      <c r="I193" s="614" t="e">
        <f>((ROUND(I191/I192,0)&amp;" : "&amp;"1"))</f>
        <v>#DIV/0!</v>
      </c>
      <c r="J193" s="614" t="e">
        <f t="shared" ref="J193:P193" si="26">((ROUND(J191/J192,0)&amp;" : "&amp;"1"))</f>
        <v>#DIV/0!</v>
      </c>
      <c r="K193" s="614" t="e">
        <f t="shared" si="26"/>
        <v>#DIV/0!</v>
      </c>
      <c r="L193" s="614" t="e">
        <f t="shared" si="26"/>
        <v>#DIV/0!</v>
      </c>
      <c r="M193" s="614" t="e">
        <f t="shared" si="26"/>
        <v>#DIV/0!</v>
      </c>
      <c r="N193" s="989" t="e">
        <f t="shared" si="26"/>
        <v>#DIV/0!</v>
      </c>
      <c r="O193" s="614" t="e">
        <f t="shared" si="26"/>
        <v>#DIV/0!</v>
      </c>
      <c r="P193" s="614" t="e">
        <f t="shared" si="26"/>
        <v>#DIV/0!</v>
      </c>
      <c r="Q193" s="614" t="e">
        <f>((ROUND(Q191/Q192,0)&amp;" : "&amp;"1"))</f>
        <v>#DIV/0!</v>
      </c>
      <c r="R193" s="614" t="e">
        <f>((ROUND(R191/R192,0)&amp;" : "&amp;"1"))</f>
        <v>#DIV/0!</v>
      </c>
      <c r="S193" s="614" t="e">
        <f>((ROUND(S191/S192,0)&amp;" : "&amp;"1"))</f>
        <v>#DIV/0!</v>
      </c>
      <c r="T193" s="631" t="e">
        <f>((ROUND(T191/T192,0)&amp;" : "&amp;"1"))</f>
        <v>#DIV/0!</v>
      </c>
    </row>
    <row r="194" spans="2:20" ht="15" hidden="1" customHeight="1" x14ac:dyDescent="0.25">
      <c r="B194" s="514" t="s">
        <v>179</v>
      </c>
      <c r="C194" s="750"/>
      <c r="E194" s="607"/>
      <c r="F194" s="617" t="s">
        <v>185</v>
      </c>
      <c r="G194" s="618" t="s">
        <v>185</v>
      </c>
      <c r="H194" s="618" t="s">
        <v>185</v>
      </c>
      <c r="I194" s="619" t="s">
        <v>185</v>
      </c>
      <c r="J194" s="619" t="s">
        <v>185</v>
      </c>
      <c r="K194" s="619" t="s">
        <v>185</v>
      </c>
      <c r="L194" s="619" t="s">
        <v>185</v>
      </c>
      <c r="M194" s="619" t="s">
        <v>185</v>
      </c>
      <c r="N194" s="990" t="s">
        <v>185</v>
      </c>
      <c r="O194" s="619" t="s">
        <v>185</v>
      </c>
      <c r="P194" s="619" t="s">
        <v>185</v>
      </c>
      <c r="Q194" s="619" t="s">
        <v>185</v>
      </c>
      <c r="R194" s="619" t="s">
        <v>185</v>
      </c>
      <c r="S194" s="619" t="s">
        <v>185</v>
      </c>
      <c r="T194" s="632" t="s">
        <v>185</v>
      </c>
    </row>
    <row r="195" spans="2:20" hidden="1" x14ac:dyDescent="0.25">
      <c r="B195" s="753" t="s">
        <v>183</v>
      </c>
      <c r="C195" s="754"/>
      <c r="D195" s="884"/>
      <c r="E195" s="633"/>
      <c r="F195" s="634"/>
      <c r="G195" s="634"/>
      <c r="H195" s="634"/>
      <c r="I195" s="634"/>
      <c r="J195" s="634"/>
      <c r="K195" s="634"/>
      <c r="L195" s="634"/>
      <c r="M195" s="634"/>
      <c r="N195" s="994"/>
      <c r="O195" s="634"/>
      <c r="P195" s="634"/>
      <c r="Q195" s="634"/>
      <c r="R195" s="634"/>
      <c r="S195" s="634"/>
      <c r="T195" s="635"/>
    </row>
    <row r="196" spans="2:20" ht="15" hidden="1" customHeight="1" x14ac:dyDescent="0.25">
      <c r="B196" s="756" t="s">
        <v>175</v>
      </c>
      <c r="C196" s="920"/>
      <c r="D196" s="885"/>
      <c r="E196" s="621"/>
      <c r="F196" s="622"/>
      <c r="G196" s="622"/>
      <c r="H196" s="622"/>
      <c r="I196" s="622"/>
      <c r="J196" s="622"/>
      <c r="K196" s="622"/>
      <c r="L196" s="622"/>
      <c r="M196" s="622"/>
      <c r="N196" s="991"/>
      <c r="O196" s="622"/>
      <c r="P196" s="622"/>
      <c r="Q196" s="622"/>
      <c r="R196" s="622"/>
      <c r="S196" s="622"/>
      <c r="T196" s="623"/>
    </row>
    <row r="197" spans="2:20" ht="15" hidden="1" customHeight="1" x14ac:dyDescent="0.25">
      <c r="B197" s="509" t="s">
        <v>178</v>
      </c>
      <c r="C197" s="750"/>
      <c r="E197" s="607"/>
      <c r="F197" s="608" t="s">
        <v>223</v>
      </c>
      <c r="G197" s="609" t="e">
        <f>AVERAGE(I197:T197)</f>
        <v>#DIV/0!</v>
      </c>
      <c r="H197" s="609" t="e">
        <f>AVERAGE(J197:U197)</f>
        <v>#DIV/0!</v>
      </c>
      <c r="I197" s="629"/>
      <c r="J197" s="512"/>
      <c r="K197" s="512"/>
      <c r="L197" s="512"/>
      <c r="M197" s="512"/>
      <c r="N197" s="850"/>
      <c r="O197" s="512"/>
      <c r="P197" s="610"/>
      <c r="Q197" s="610"/>
      <c r="R197" s="610"/>
      <c r="S197" s="610"/>
      <c r="T197" s="611"/>
    </row>
    <row r="198" spans="2:20" ht="15" hidden="1" customHeight="1" x14ac:dyDescent="0.25">
      <c r="B198" s="522" t="s">
        <v>177</v>
      </c>
      <c r="C198" s="750"/>
      <c r="E198" s="607"/>
      <c r="F198" s="612" t="s">
        <v>224</v>
      </c>
      <c r="G198" s="613" t="e">
        <f>AVERAGE(I198:T198)</f>
        <v>#DIV/0!</v>
      </c>
      <c r="H198" s="613" t="e">
        <f>AVERAGE(J198:U198)</f>
        <v>#DIV/0!</v>
      </c>
      <c r="I198" s="614"/>
      <c r="J198" s="615"/>
      <c r="K198" s="615"/>
      <c r="L198" s="615"/>
      <c r="M198" s="615"/>
      <c r="N198" s="975"/>
      <c r="O198" s="615"/>
      <c r="P198" s="615"/>
      <c r="Q198" s="615"/>
      <c r="R198" s="615"/>
      <c r="S198" s="615"/>
      <c r="T198" s="616"/>
    </row>
    <row r="199" spans="2:20" ht="15" hidden="1" customHeight="1" x14ac:dyDescent="0.25">
      <c r="B199" s="522" t="s">
        <v>180</v>
      </c>
      <c r="C199" s="750"/>
      <c r="E199" s="607"/>
      <c r="F199" s="612" t="s">
        <v>225</v>
      </c>
      <c r="G199" s="613" t="e">
        <f>((ROUND(G197/G198,0)&amp;" : "&amp;"1"))</f>
        <v>#DIV/0!</v>
      </c>
      <c r="H199" s="613" t="e">
        <f>((ROUND(H197/H198,0)&amp;" : "&amp;"1"))</f>
        <v>#DIV/0!</v>
      </c>
      <c r="I199" s="614" t="e">
        <f>((ROUND(I197/I198,0)&amp;" : "&amp;"1"))</f>
        <v>#DIV/0!</v>
      </c>
      <c r="J199" s="614" t="e">
        <f t="shared" ref="J199:T199" si="27">((ROUND(J197/J198,0)&amp;" : "&amp;"1"))</f>
        <v>#DIV/0!</v>
      </c>
      <c r="K199" s="614" t="e">
        <f t="shared" si="27"/>
        <v>#DIV/0!</v>
      </c>
      <c r="L199" s="614" t="e">
        <f t="shared" si="27"/>
        <v>#DIV/0!</v>
      </c>
      <c r="M199" s="614" t="e">
        <f t="shared" si="27"/>
        <v>#DIV/0!</v>
      </c>
      <c r="N199" s="989" t="e">
        <f t="shared" si="27"/>
        <v>#DIV/0!</v>
      </c>
      <c r="O199" s="614" t="e">
        <f t="shared" si="27"/>
        <v>#DIV/0!</v>
      </c>
      <c r="P199" s="614" t="e">
        <f t="shared" si="27"/>
        <v>#DIV/0!</v>
      </c>
      <c r="Q199" s="614" t="e">
        <f t="shared" si="27"/>
        <v>#DIV/0!</v>
      </c>
      <c r="R199" s="614" t="e">
        <f t="shared" si="27"/>
        <v>#DIV/0!</v>
      </c>
      <c r="S199" s="614" t="e">
        <f t="shared" si="27"/>
        <v>#DIV/0!</v>
      </c>
      <c r="T199" s="631" t="e">
        <f t="shared" si="27"/>
        <v>#DIV/0!</v>
      </c>
    </row>
    <row r="200" spans="2:20" ht="15" hidden="1" customHeight="1" x14ac:dyDescent="0.25">
      <c r="B200" s="514" t="s">
        <v>179</v>
      </c>
      <c r="C200" s="750"/>
      <c r="E200" s="607"/>
      <c r="F200" s="617" t="s">
        <v>186</v>
      </c>
      <c r="G200" s="618" t="s">
        <v>186</v>
      </c>
      <c r="H200" s="618" t="s">
        <v>186</v>
      </c>
      <c r="I200" s="619" t="s">
        <v>186</v>
      </c>
      <c r="J200" s="619" t="s">
        <v>186</v>
      </c>
      <c r="K200" s="619" t="s">
        <v>186</v>
      </c>
      <c r="L200" s="619" t="s">
        <v>186</v>
      </c>
      <c r="M200" s="619" t="s">
        <v>186</v>
      </c>
      <c r="N200" s="990" t="s">
        <v>186</v>
      </c>
      <c r="O200" s="619" t="s">
        <v>186</v>
      </c>
      <c r="P200" s="619" t="s">
        <v>186</v>
      </c>
      <c r="Q200" s="619" t="s">
        <v>186</v>
      </c>
      <c r="R200" s="619" t="s">
        <v>186</v>
      </c>
      <c r="S200" s="619" t="s">
        <v>186</v>
      </c>
      <c r="T200" s="632" t="s">
        <v>186</v>
      </c>
    </row>
    <row r="201" spans="2:20" ht="15" hidden="1" customHeight="1" x14ac:dyDescent="0.25">
      <c r="B201" s="756" t="s">
        <v>176</v>
      </c>
      <c r="C201" s="920"/>
      <c r="D201" s="885"/>
      <c r="E201" s="621"/>
      <c r="F201" s="622"/>
      <c r="G201" s="622"/>
      <c r="H201" s="622"/>
      <c r="I201" s="622"/>
      <c r="J201" s="622"/>
      <c r="K201" s="622"/>
      <c r="L201" s="622"/>
      <c r="M201" s="622"/>
      <c r="N201" s="991"/>
      <c r="O201" s="622"/>
      <c r="P201" s="622"/>
      <c r="Q201" s="622"/>
      <c r="R201" s="622"/>
      <c r="S201" s="622"/>
      <c r="T201" s="623"/>
    </row>
    <row r="202" spans="2:20" ht="15" hidden="1" customHeight="1" x14ac:dyDescent="0.25">
      <c r="B202" s="509" t="s">
        <v>178</v>
      </c>
      <c r="C202" s="750"/>
      <c r="E202" s="607"/>
      <c r="F202" s="608" t="s">
        <v>226</v>
      </c>
      <c r="G202" s="609" t="e">
        <f>AVERAGE(I202:T202)</f>
        <v>#DIV/0!</v>
      </c>
      <c r="H202" s="609" t="e">
        <f>AVERAGE(J202:U202)</f>
        <v>#DIV/0!</v>
      </c>
      <c r="I202" s="636"/>
      <c r="J202" s="610"/>
      <c r="K202" s="610"/>
      <c r="L202" s="610"/>
      <c r="M202" s="610"/>
      <c r="N202" s="850"/>
      <c r="O202" s="610"/>
      <c r="P202" s="610"/>
      <c r="Q202" s="610"/>
      <c r="R202" s="610"/>
      <c r="S202" s="610"/>
      <c r="T202" s="611"/>
    </row>
    <row r="203" spans="2:20" ht="15" hidden="1" customHeight="1" x14ac:dyDescent="0.25">
      <c r="B203" s="522" t="s">
        <v>177</v>
      </c>
      <c r="C203" s="750"/>
      <c r="E203" s="607"/>
      <c r="F203" s="612" t="s">
        <v>227</v>
      </c>
      <c r="G203" s="613" t="e">
        <f>AVERAGE(I203:T203)</f>
        <v>#DIV/0!</v>
      </c>
      <c r="H203" s="613" t="e">
        <f>AVERAGE(J203:U203)</f>
        <v>#DIV/0!</v>
      </c>
      <c r="I203" s="614"/>
      <c r="J203" s="615"/>
      <c r="K203" s="615"/>
      <c r="L203" s="615"/>
      <c r="M203" s="615"/>
      <c r="N203" s="975"/>
      <c r="O203" s="615"/>
      <c r="P203" s="615"/>
      <c r="Q203" s="615"/>
      <c r="R203" s="615"/>
      <c r="S203" s="615"/>
      <c r="T203" s="616"/>
    </row>
    <row r="204" spans="2:20" ht="15" hidden="1" customHeight="1" x14ac:dyDescent="0.25">
      <c r="B204" s="522" t="s">
        <v>180</v>
      </c>
      <c r="C204" s="750"/>
      <c r="E204" s="607"/>
      <c r="F204" s="612" t="s">
        <v>222</v>
      </c>
      <c r="G204" s="613" t="e">
        <f>((ROUND(G202/G203,0)&amp;" : "&amp;"1"))</f>
        <v>#DIV/0!</v>
      </c>
      <c r="H204" s="613" t="e">
        <f>((ROUND(H202/H203,0)&amp;" : "&amp;"1"))</f>
        <v>#DIV/0!</v>
      </c>
      <c r="I204" s="614" t="e">
        <f>((ROUND(I202/I203,0)&amp;" : "&amp;"1"))</f>
        <v>#DIV/0!</v>
      </c>
      <c r="J204" s="614" t="e">
        <f t="shared" ref="J204:T204" si="28">((ROUND(J202/J203,0)&amp;" : "&amp;"1"))</f>
        <v>#DIV/0!</v>
      </c>
      <c r="K204" s="614" t="e">
        <f t="shared" si="28"/>
        <v>#DIV/0!</v>
      </c>
      <c r="L204" s="614" t="e">
        <f t="shared" si="28"/>
        <v>#DIV/0!</v>
      </c>
      <c r="M204" s="614" t="e">
        <f t="shared" si="28"/>
        <v>#DIV/0!</v>
      </c>
      <c r="N204" s="989" t="e">
        <f t="shared" si="28"/>
        <v>#DIV/0!</v>
      </c>
      <c r="O204" s="614" t="e">
        <f t="shared" si="28"/>
        <v>#DIV/0!</v>
      </c>
      <c r="P204" s="614" t="e">
        <f t="shared" si="28"/>
        <v>#DIV/0!</v>
      </c>
      <c r="Q204" s="614" t="e">
        <f t="shared" si="28"/>
        <v>#DIV/0!</v>
      </c>
      <c r="R204" s="614" t="e">
        <f t="shared" si="28"/>
        <v>#DIV/0!</v>
      </c>
      <c r="S204" s="614" t="e">
        <f t="shared" si="28"/>
        <v>#DIV/0!</v>
      </c>
      <c r="T204" s="631" t="e">
        <f t="shared" si="28"/>
        <v>#DIV/0!</v>
      </c>
    </row>
    <row r="205" spans="2:20" ht="15" hidden="1" customHeight="1" x14ac:dyDescent="0.25">
      <c r="B205" s="759" t="s">
        <v>179</v>
      </c>
      <c r="C205" s="914"/>
      <c r="D205" s="880"/>
      <c r="E205" s="637"/>
      <c r="F205" s="638" t="s">
        <v>186</v>
      </c>
      <c r="G205" s="639" t="s">
        <v>186</v>
      </c>
      <c r="H205" s="639" t="s">
        <v>186</v>
      </c>
      <c r="I205" s="640" t="s">
        <v>186</v>
      </c>
      <c r="J205" s="640" t="s">
        <v>186</v>
      </c>
      <c r="K205" s="640" t="s">
        <v>186</v>
      </c>
      <c r="L205" s="640" t="s">
        <v>186</v>
      </c>
      <c r="M205" s="640" t="s">
        <v>186</v>
      </c>
      <c r="N205" s="995" t="s">
        <v>186</v>
      </c>
      <c r="O205" s="640" t="s">
        <v>186</v>
      </c>
      <c r="P205" s="640" t="s">
        <v>186</v>
      </c>
      <c r="Q205" s="640" t="s">
        <v>186</v>
      </c>
      <c r="R205" s="640" t="s">
        <v>186</v>
      </c>
      <c r="S205" s="640" t="s">
        <v>186</v>
      </c>
      <c r="T205" s="641" t="s">
        <v>186</v>
      </c>
    </row>
    <row r="206" spans="2:20" hidden="1" x14ac:dyDescent="0.25">
      <c r="B206" s="753" t="s">
        <v>43</v>
      </c>
      <c r="C206" s="754"/>
      <c r="D206" s="884"/>
      <c r="E206" s="633"/>
      <c r="F206" s="634"/>
      <c r="G206" s="633"/>
      <c r="H206" s="633"/>
      <c r="I206" s="633"/>
      <c r="J206" s="633"/>
      <c r="K206" s="633"/>
      <c r="L206" s="633"/>
      <c r="M206" s="633"/>
      <c r="N206" s="996"/>
      <c r="O206" s="633"/>
      <c r="P206" s="633"/>
      <c r="Q206" s="633"/>
      <c r="R206" s="633"/>
      <c r="S206" s="633"/>
      <c r="T206" s="642"/>
    </row>
    <row r="207" spans="2:20" ht="15" hidden="1" customHeight="1" x14ac:dyDescent="0.25">
      <c r="B207" s="756" t="s">
        <v>44</v>
      </c>
      <c r="C207" s="920"/>
      <c r="D207" s="885"/>
      <c r="E207" s="621"/>
      <c r="F207" s="622"/>
      <c r="G207" s="621"/>
      <c r="H207" s="621"/>
      <c r="I207" s="621"/>
      <c r="J207" s="621"/>
      <c r="K207" s="621"/>
      <c r="L207" s="621"/>
      <c r="M207" s="621"/>
      <c r="N207" s="997"/>
      <c r="O207" s="621"/>
      <c r="P207" s="621"/>
      <c r="Q207" s="621"/>
      <c r="R207" s="621"/>
      <c r="S207" s="621"/>
      <c r="T207" s="643"/>
    </row>
    <row r="208" spans="2:20" ht="15" hidden="1" customHeight="1" x14ac:dyDescent="0.25">
      <c r="B208" s="509" t="s">
        <v>178</v>
      </c>
      <c r="C208" s="750"/>
      <c r="E208" s="607"/>
      <c r="F208" s="608" t="s">
        <v>228</v>
      </c>
      <c r="G208" s="609" t="e">
        <f>AVERAGE(I208:T208)</f>
        <v>#DIV/0!</v>
      </c>
      <c r="H208" s="609" t="e">
        <f>AVERAGE(J208:U208)</f>
        <v>#DIV/0!</v>
      </c>
      <c r="I208" s="636"/>
      <c r="J208" s="610"/>
      <c r="K208" s="610"/>
      <c r="L208" s="610"/>
      <c r="M208" s="610"/>
      <c r="N208" s="850"/>
      <c r="O208" s="610"/>
      <c r="P208" s="610"/>
      <c r="Q208" s="610"/>
      <c r="R208" s="610"/>
      <c r="S208" s="610"/>
      <c r="T208" s="611"/>
    </row>
    <row r="209" spans="2:20" ht="15" hidden="1" customHeight="1" x14ac:dyDescent="0.25">
      <c r="B209" s="522" t="s">
        <v>177</v>
      </c>
      <c r="C209" s="750"/>
      <c r="E209" s="607"/>
      <c r="F209" s="612" t="s">
        <v>210</v>
      </c>
      <c r="G209" s="613" t="e">
        <f>AVERAGE(I209:T209)</f>
        <v>#DIV/0!</v>
      </c>
      <c r="H209" s="613" t="e">
        <f>AVERAGE(J209:U209)</f>
        <v>#DIV/0!</v>
      </c>
      <c r="I209" s="614"/>
      <c r="J209" s="615"/>
      <c r="K209" s="615"/>
      <c r="L209" s="615"/>
      <c r="M209" s="615"/>
      <c r="N209" s="975"/>
      <c r="O209" s="615"/>
      <c r="P209" s="615"/>
      <c r="Q209" s="615"/>
      <c r="R209" s="615"/>
      <c r="S209" s="615"/>
      <c r="T209" s="616"/>
    </row>
    <row r="210" spans="2:20" ht="15" hidden="1" customHeight="1" x14ac:dyDescent="0.25">
      <c r="B210" s="522" t="s">
        <v>180</v>
      </c>
      <c r="C210" s="750"/>
      <c r="E210" s="607"/>
      <c r="F210" s="612" t="s">
        <v>229</v>
      </c>
      <c r="G210" s="613" t="e">
        <f>((ROUND(G208/G209,0)&amp;" : "&amp;"1"))</f>
        <v>#DIV/0!</v>
      </c>
      <c r="H210" s="613" t="e">
        <f>((ROUND(H208/H209,0)&amp;" : "&amp;"1"))</f>
        <v>#DIV/0!</v>
      </c>
      <c r="I210" s="614" t="e">
        <f>((ROUND(I208/I209,0)&amp;" : "&amp;"1"))</f>
        <v>#DIV/0!</v>
      </c>
      <c r="J210" s="614" t="e">
        <f t="shared" ref="J210:T210" si="29">((ROUND(J208/J209,0)&amp;" : "&amp;"1"))</f>
        <v>#DIV/0!</v>
      </c>
      <c r="K210" s="614" t="e">
        <f t="shared" si="29"/>
        <v>#DIV/0!</v>
      </c>
      <c r="L210" s="614" t="e">
        <f t="shared" si="29"/>
        <v>#DIV/0!</v>
      </c>
      <c r="M210" s="614" t="e">
        <f t="shared" si="29"/>
        <v>#DIV/0!</v>
      </c>
      <c r="N210" s="989" t="e">
        <f t="shared" si="29"/>
        <v>#DIV/0!</v>
      </c>
      <c r="O210" s="614" t="e">
        <f t="shared" si="29"/>
        <v>#DIV/0!</v>
      </c>
      <c r="P210" s="614" t="e">
        <f t="shared" si="29"/>
        <v>#DIV/0!</v>
      </c>
      <c r="Q210" s="614" t="e">
        <f t="shared" si="29"/>
        <v>#DIV/0!</v>
      </c>
      <c r="R210" s="614" t="e">
        <f t="shared" si="29"/>
        <v>#DIV/0!</v>
      </c>
      <c r="S210" s="614" t="e">
        <f t="shared" si="29"/>
        <v>#DIV/0!</v>
      </c>
      <c r="T210" s="616" t="e">
        <f t="shared" si="29"/>
        <v>#DIV/0!</v>
      </c>
    </row>
    <row r="211" spans="2:20" ht="15" hidden="1" customHeight="1" x14ac:dyDescent="0.25">
      <c r="B211" s="514" t="s">
        <v>179</v>
      </c>
      <c r="C211" s="750"/>
      <c r="E211" s="607"/>
      <c r="F211" s="617" t="s">
        <v>187</v>
      </c>
      <c r="G211" s="644" t="s">
        <v>187</v>
      </c>
      <c r="H211" s="644" t="s">
        <v>187</v>
      </c>
      <c r="I211" s="645" t="s">
        <v>187</v>
      </c>
      <c r="J211" s="645" t="s">
        <v>187</v>
      </c>
      <c r="K211" s="645" t="s">
        <v>187</v>
      </c>
      <c r="L211" s="645" t="s">
        <v>187</v>
      </c>
      <c r="M211" s="645" t="s">
        <v>187</v>
      </c>
      <c r="N211" s="990" t="s">
        <v>187</v>
      </c>
      <c r="O211" s="645" t="s">
        <v>187</v>
      </c>
      <c r="P211" s="645" t="s">
        <v>187</v>
      </c>
      <c r="Q211" s="645" t="s">
        <v>187</v>
      </c>
      <c r="R211" s="645" t="s">
        <v>187</v>
      </c>
      <c r="S211" s="645" t="s">
        <v>187</v>
      </c>
      <c r="T211" s="646" t="s">
        <v>187</v>
      </c>
    </row>
    <row r="212" spans="2:20" ht="15" hidden="1" customHeight="1" x14ac:dyDescent="0.25">
      <c r="B212" s="756" t="s">
        <v>114</v>
      </c>
      <c r="C212" s="920"/>
      <c r="D212" s="885"/>
      <c r="E212" s="621"/>
      <c r="F212" s="622"/>
      <c r="G212" s="621"/>
      <c r="H212" s="621"/>
      <c r="I212" s="621"/>
      <c r="J212" s="621"/>
      <c r="K212" s="621"/>
      <c r="L212" s="621"/>
      <c r="M212" s="621"/>
      <c r="N212" s="997"/>
      <c r="O212" s="621"/>
      <c r="P212" s="621"/>
      <c r="Q212" s="621"/>
      <c r="R212" s="621"/>
      <c r="S212" s="621"/>
      <c r="T212" s="643"/>
    </row>
    <row r="213" spans="2:20" ht="15" hidden="1" customHeight="1" x14ac:dyDescent="0.25">
      <c r="B213" s="509" t="s">
        <v>178</v>
      </c>
      <c r="C213" s="750"/>
      <c r="E213" s="607"/>
      <c r="F213" s="608" t="s">
        <v>230</v>
      </c>
      <c r="G213" s="609" t="e">
        <f>AVERAGE(I213:T213)</f>
        <v>#DIV/0!</v>
      </c>
      <c r="H213" s="609" t="e">
        <f>AVERAGE(J213:U213)</f>
        <v>#DIV/0!</v>
      </c>
      <c r="I213" s="636"/>
      <c r="J213" s="610"/>
      <c r="K213" s="610"/>
      <c r="L213" s="610"/>
      <c r="M213" s="610"/>
      <c r="N213" s="850"/>
      <c r="O213" s="610"/>
      <c r="P213" s="610"/>
      <c r="Q213" s="610"/>
      <c r="R213" s="610"/>
      <c r="S213" s="610"/>
      <c r="T213" s="611"/>
    </row>
    <row r="214" spans="2:20" ht="15" hidden="1" customHeight="1" x14ac:dyDescent="0.25">
      <c r="B214" s="522" t="s">
        <v>177</v>
      </c>
      <c r="C214" s="750"/>
      <c r="E214" s="607"/>
      <c r="F214" s="612" t="s">
        <v>231</v>
      </c>
      <c r="G214" s="613" t="e">
        <f>AVERAGE(I214:T214)</f>
        <v>#DIV/0!</v>
      </c>
      <c r="H214" s="613" t="e">
        <f>AVERAGE(J214:U214)</f>
        <v>#DIV/0!</v>
      </c>
      <c r="I214" s="614"/>
      <c r="J214" s="615"/>
      <c r="K214" s="615"/>
      <c r="L214" s="615"/>
      <c r="M214" s="615"/>
      <c r="N214" s="975"/>
      <c r="O214" s="615"/>
      <c r="P214" s="615"/>
      <c r="Q214" s="615"/>
      <c r="R214" s="615"/>
      <c r="S214" s="615"/>
      <c r="T214" s="616"/>
    </row>
    <row r="215" spans="2:20" ht="15" hidden="1" customHeight="1" x14ac:dyDescent="0.25">
      <c r="B215" s="522" t="s">
        <v>180</v>
      </c>
      <c r="C215" s="750"/>
      <c r="E215" s="607"/>
      <c r="F215" s="612" t="s">
        <v>187</v>
      </c>
      <c r="G215" s="613" t="e">
        <f>((ROUND(G213/G214,0)&amp;" : "&amp;"1"))</f>
        <v>#DIV/0!</v>
      </c>
      <c r="H215" s="613" t="e">
        <f>((ROUND(H213/H214,0)&amp;" : "&amp;"1"))</f>
        <v>#DIV/0!</v>
      </c>
      <c r="I215" s="614" t="e">
        <f>((ROUND(I213/I214,0)&amp;" : "&amp;"1"))</f>
        <v>#DIV/0!</v>
      </c>
      <c r="J215" s="614" t="e">
        <f t="shared" ref="J215:T215" si="30">((ROUND(J213/J214,0)&amp;" : "&amp;"1"))</f>
        <v>#DIV/0!</v>
      </c>
      <c r="K215" s="614" t="e">
        <f t="shared" si="30"/>
        <v>#DIV/0!</v>
      </c>
      <c r="L215" s="614" t="e">
        <f t="shared" si="30"/>
        <v>#DIV/0!</v>
      </c>
      <c r="M215" s="614" t="e">
        <f t="shared" si="30"/>
        <v>#DIV/0!</v>
      </c>
      <c r="N215" s="989" t="e">
        <f t="shared" si="30"/>
        <v>#DIV/0!</v>
      </c>
      <c r="O215" s="614" t="e">
        <f t="shared" si="30"/>
        <v>#DIV/0!</v>
      </c>
      <c r="P215" s="614" t="e">
        <f t="shared" si="30"/>
        <v>#DIV/0!</v>
      </c>
      <c r="Q215" s="614" t="e">
        <f t="shared" si="30"/>
        <v>#DIV/0!</v>
      </c>
      <c r="R215" s="614" t="e">
        <f t="shared" si="30"/>
        <v>#DIV/0!</v>
      </c>
      <c r="S215" s="614" t="e">
        <f t="shared" si="30"/>
        <v>#DIV/0!</v>
      </c>
      <c r="T215" s="616" t="e">
        <f t="shared" si="30"/>
        <v>#DIV/0!</v>
      </c>
    </row>
    <row r="216" spans="2:20" ht="15" hidden="1" customHeight="1" x14ac:dyDescent="0.25">
      <c r="B216" s="514" t="s">
        <v>179</v>
      </c>
      <c r="C216" s="750"/>
      <c r="E216" s="607"/>
      <c r="F216" s="617" t="s">
        <v>188</v>
      </c>
      <c r="G216" s="644" t="s">
        <v>188</v>
      </c>
      <c r="H216" s="644" t="s">
        <v>188</v>
      </c>
      <c r="I216" s="645" t="s">
        <v>188</v>
      </c>
      <c r="J216" s="645" t="s">
        <v>188</v>
      </c>
      <c r="K216" s="645" t="s">
        <v>188</v>
      </c>
      <c r="L216" s="645" t="s">
        <v>188</v>
      </c>
      <c r="M216" s="645" t="s">
        <v>188</v>
      </c>
      <c r="N216" s="990" t="s">
        <v>188</v>
      </c>
      <c r="O216" s="645" t="s">
        <v>188</v>
      </c>
      <c r="P216" s="645" t="s">
        <v>188</v>
      </c>
      <c r="Q216" s="645" t="s">
        <v>188</v>
      </c>
      <c r="R216" s="645" t="s">
        <v>188</v>
      </c>
      <c r="S216" s="645" t="s">
        <v>188</v>
      </c>
      <c r="T216" s="646" t="s">
        <v>188</v>
      </c>
    </row>
    <row r="217" spans="2:20" ht="15" hidden="1" customHeight="1" x14ac:dyDescent="0.25">
      <c r="B217" s="756" t="s">
        <v>203</v>
      </c>
      <c r="C217" s="920"/>
      <c r="D217" s="885"/>
      <c r="E217" s="621"/>
      <c r="F217" s="622"/>
      <c r="G217" s="621"/>
      <c r="H217" s="621"/>
      <c r="I217" s="621"/>
      <c r="J217" s="621"/>
      <c r="K217" s="621"/>
      <c r="L217" s="621"/>
      <c r="M217" s="621"/>
      <c r="N217" s="997"/>
      <c r="O217" s="621"/>
      <c r="P217" s="621"/>
      <c r="Q217" s="621"/>
      <c r="R217" s="621"/>
      <c r="S217" s="621"/>
      <c r="T217" s="643"/>
    </row>
    <row r="218" spans="2:20" ht="15" hidden="1" customHeight="1" x14ac:dyDescent="0.25">
      <c r="B218" s="509" t="s">
        <v>178</v>
      </c>
      <c r="C218" s="750"/>
      <c r="E218" s="647"/>
      <c r="F218" s="608" t="s">
        <v>232</v>
      </c>
      <c r="G218" s="609" t="e">
        <f>AVERAGE(I218:T218)</f>
        <v>#DIV/0!</v>
      </c>
      <c r="H218" s="609" t="e">
        <f>AVERAGE(J218:U218)</f>
        <v>#DIV/0!</v>
      </c>
      <c r="I218" s="636"/>
      <c r="J218" s="610"/>
      <c r="K218" s="610"/>
      <c r="L218" s="610"/>
      <c r="M218" s="648"/>
      <c r="N218" s="850"/>
      <c r="O218" s="610"/>
      <c r="P218" s="610"/>
      <c r="Q218" s="610"/>
      <c r="R218" s="610"/>
      <c r="S218" s="610"/>
      <c r="T218" s="611"/>
    </row>
    <row r="219" spans="2:20" ht="15" hidden="1" customHeight="1" x14ac:dyDescent="0.25">
      <c r="B219" s="522" t="s">
        <v>177</v>
      </c>
      <c r="C219" s="750"/>
      <c r="E219" s="607"/>
      <c r="F219" s="612" t="s">
        <v>218</v>
      </c>
      <c r="G219" s="613" t="e">
        <f>AVERAGE(I219:T219)</f>
        <v>#DIV/0!</v>
      </c>
      <c r="H219" s="613" t="e">
        <f>AVERAGE(J219:U219)</f>
        <v>#DIV/0!</v>
      </c>
      <c r="I219" s="614"/>
      <c r="J219" s="615"/>
      <c r="K219" s="615"/>
      <c r="L219" s="615"/>
      <c r="M219" s="648"/>
      <c r="N219" s="975"/>
      <c r="O219" s="615"/>
      <c r="P219" s="615"/>
      <c r="Q219" s="615"/>
      <c r="R219" s="615"/>
      <c r="S219" s="615"/>
      <c r="T219" s="616"/>
    </row>
    <row r="220" spans="2:20" ht="15" hidden="1" customHeight="1" x14ac:dyDescent="0.25">
      <c r="B220" s="522" t="s">
        <v>180</v>
      </c>
      <c r="C220" s="750"/>
      <c r="E220" s="607"/>
      <c r="F220" s="612" t="s">
        <v>233</v>
      </c>
      <c r="G220" s="613" t="e">
        <f>((ROUND(G218/G219,0)&amp;" : "&amp;"1"))</f>
        <v>#DIV/0!</v>
      </c>
      <c r="H220" s="613" t="e">
        <f>((ROUND(H218/H219,0)&amp;" : "&amp;"1"))</f>
        <v>#DIV/0!</v>
      </c>
      <c r="I220" s="614" t="e">
        <f>((ROUND(I218/I219,0)&amp;" : "&amp;"1"))</f>
        <v>#DIV/0!</v>
      </c>
      <c r="J220" s="614" t="e">
        <f t="shared" ref="J220:T220" si="31">((ROUND(J218/J219,0)&amp;" : "&amp;"1"))</f>
        <v>#DIV/0!</v>
      </c>
      <c r="K220" s="614" t="e">
        <f t="shared" si="31"/>
        <v>#DIV/0!</v>
      </c>
      <c r="L220" s="614" t="e">
        <f t="shared" si="31"/>
        <v>#DIV/0!</v>
      </c>
      <c r="M220" s="614" t="e">
        <f t="shared" si="31"/>
        <v>#DIV/0!</v>
      </c>
      <c r="N220" s="989" t="e">
        <f t="shared" si="31"/>
        <v>#DIV/0!</v>
      </c>
      <c r="O220" s="614" t="e">
        <f t="shared" si="31"/>
        <v>#DIV/0!</v>
      </c>
      <c r="P220" s="614" t="e">
        <f t="shared" si="31"/>
        <v>#DIV/0!</v>
      </c>
      <c r="Q220" s="614" t="e">
        <f t="shared" si="31"/>
        <v>#DIV/0!</v>
      </c>
      <c r="R220" s="614" t="e">
        <f t="shared" si="31"/>
        <v>#DIV/0!</v>
      </c>
      <c r="S220" s="614" t="e">
        <f t="shared" si="31"/>
        <v>#DIV/0!</v>
      </c>
      <c r="T220" s="631" t="e">
        <f t="shared" si="31"/>
        <v>#DIV/0!</v>
      </c>
    </row>
    <row r="221" spans="2:20" ht="15" hidden="1" customHeight="1" x14ac:dyDescent="0.25">
      <c r="B221" s="514" t="s">
        <v>179</v>
      </c>
      <c r="C221" s="750"/>
      <c r="E221" s="607"/>
      <c r="F221" s="617" t="s">
        <v>189</v>
      </c>
      <c r="G221" s="644" t="s">
        <v>189</v>
      </c>
      <c r="H221" s="644" t="s">
        <v>189</v>
      </c>
      <c r="I221" s="645" t="s">
        <v>189</v>
      </c>
      <c r="J221" s="645" t="s">
        <v>189</v>
      </c>
      <c r="K221" s="645" t="s">
        <v>189</v>
      </c>
      <c r="L221" s="645" t="s">
        <v>189</v>
      </c>
      <c r="M221" s="645" t="s">
        <v>189</v>
      </c>
      <c r="N221" s="990" t="s">
        <v>189</v>
      </c>
      <c r="O221" s="645" t="s">
        <v>189</v>
      </c>
      <c r="P221" s="645" t="s">
        <v>189</v>
      </c>
      <c r="Q221" s="645" t="s">
        <v>189</v>
      </c>
      <c r="R221" s="645" t="s">
        <v>189</v>
      </c>
      <c r="S221" s="645" t="s">
        <v>189</v>
      </c>
      <c r="T221" s="649" t="s">
        <v>189</v>
      </c>
    </row>
    <row r="222" spans="2:20" ht="15" hidden="1" customHeight="1" x14ac:dyDescent="0.25">
      <c r="B222" s="756" t="s">
        <v>201</v>
      </c>
      <c r="C222" s="920"/>
      <c r="D222" s="885"/>
      <c r="E222" s="621"/>
      <c r="F222" s="622"/>
      <c r="G222" s="650"/>
      <c r="H222" s="650"/>
      <c r="I222" s="621"/>
      <c r="J222" s="621"/>
      <c r="K222" s="621"/>
      <c r="L222" s="1047"/>
      <c r="M222" s="1047"/>
      <c r="N222" s="997"/>
      <c r="O222" s="621"/>
      <c r="P222" s="621"/>
      <c r="Q222" s="621"/>
      <c r="R222" s="621"/>
      <c r="S222" s="621"/>
      <c r="T222" s="643"/>
    </row>
    <row r="223" spans="2:20" ht="15" hidden="1" customHeight="1" x14ac:dyDescent="0.25">
      <c r="B223" s="509" t="s">
        <v>178</v>
      </c>
      <c r="C223" s="750"/>
      <c r="E223" s="607"/>
      <c r="F223" s="608" t="s">
        <v>234</v>
      </c>
      <c r="G223" s="609" t="e">
        <f>AVERAGE(I223:O223)</f>
        <v>#DIV/0!</v>
      </c>
      <c r="H223" s="609" t="e">
        <f>AVERAGE(J223:P223)</f>
        <v>#DIV/0!</v>
      </c>
      <c r="I223" s="636"/>
      <c r="J223" s="610"/>
      <c r="K223" s="610"/>
      <c r="L223" s="610"/>
      <c r="M223" s="610"/>
      <c r="N223" s="850"/>
      <c r="O223" s="610"/>
      <c r="P223" s="610"/>
      <c r="Q223" s="610"/>
      <c r="R223" s="610"/>
      <c r="S223" s="610"/>
      <c r="T223" s="611"/>
    </row>
    <row r="224" spans="2:20" ht="15" hidden="1" customHeight="1" x14ac:dyDescent="0.25">
      <c r="B224" s="522" t="s">
        <v>177</v>
      </c>
      <c r="C224" s="750"/>
      <c r="E224" s="607"/>
      <c r="F224" s="612" t="s">
        <v>235</v>
      </c>
      <c r="G224" s="613" t="e">
        <f>AVERAGE(I224:T224)</f>
        <v>#DIV/0!</v>
      </c>
      <c r="H224" s="613" t="e">
        <f>AVERAGE(J224:U224)</f>
        <v>#DIV/0!</v>
      </c>
      <c r="I224" s="614"/>
      <c r="J224" s="615"/>
      <c r="K224" s="615"/>
      <c r="L224" s="615"/>
      <c r="M224" s="615"/>
      <c r="N224" s="975"/>
      <c r="O224" s="615"/>
      <c r="P224" s="615"/>
      <c r="Q224" s="615"/>
      <c r="R224" s="615"/>
      <c r="S224" s="615"/>
      <c r="T224" s="616"/>
    </row>
    <row r="225" spans="2:20" ht="15" hidden="1" customHeight="1" x14ac:dyDescent="0.25">
      <c r="B225" s="522" t="s">
        <v>180</v>
      </c>
      <c r="C225" s="750"/>
      <c r="E225" s="607"/>
      <c r="F225" s="612" t="s">
        <v>236</v>
      </c>
      <c r="G225" s="613" t="e">
        <f>((ROUND(G223/G224,0)&amp;" : "&amp;"1"))</f>
        <v>#DIV/0!</v>
      </c>
      <c r="H225" s="613" t="e">
        <f>((ROUND(H223/H224,0)&amp;" : "&amp;"1"))</f>
        <v>#DIV/0!</v>
      </c>
      <c r="I225" s="614" t="e">
        <f>((ROUND(I223/I224,0)&amp;" : "&amp;"1"))</f>
        <v>#DIV/0!</v>
      </c>
      <c r="J225" s="614" t="e">
        <f t="shared" ref="J225:T225" si="32">((ROUND(J223/J224,0)&amp;" : "&amp;"1"))</f>
        <v>#DIV/0!</v>
      </c>
      <c r="K225" s="614" t="e">
        <f t="shared" si="32"/>
        <v>#DIV/0!</v>
      </c>
      <c r="L225" s="614" t="e">
        <f t="shared" si="32"/>
        <v>#DIV/0!</v>
      </c>
      <c r="M225" s="614" t="e">
        <f t="shared" si="32"/>
        <v>#DIV/0!</v>
      </c>
      <c r="N225" s="989" t="e">
        <f t="shared" si="32"/>
        <v>#DIV/0!</v>
      </c>
      <c r="O225" s="614" t="e">
        <f t="shared" si="32"/>
        <v>#DIV/0!</v>
      </c>
      <c r="P225" s="614" t="e">
        <f t="shared" si="32"/>
        <v>#DIV/0!</v>
      </c>
      <c r="Q225" s="614" t="e">
        <f t="shared" si="32"/>
        <v>#DIV/0!</v>
      </c>
      <c r="R225" s="614" t="e">
        <f t="shared" si="32"/>
        <v>#DIV/0!</v>
      </c>
      <c r="S225" s="614" t="e">
        <f t="shared" si="32"/>
        <v>#DIV/0!</v>
      </c>
      <c r="T225" s="631" t="e">
        <f t="shared" si="32"/>
        <v>#DIV/0!</v>
      </c>
    </row>
    <row r="226" spans="2:20" ht="15" hidden="1" customHeight="1" x14ac:dyDescent="0.25">
      <c r="B226" s="514" t="s">
        <v>179</v>
      </c>
      <c r="C226" s="750"/>
      <c r="E226" s="607"/>
      <c r="F226" s="617" t="s">
        <v>211</v>
      </c>
      <c r="G226" s="618" t="s">
        <v>211</v>
      </c>
      <c r="H226" s="618" t="s">
        <v>211</v>
      </c>
      <c r="I226" s="619" t="s">
        <v>211</v>
      </c>
      <c r="J226" s="619" t="s">
        <v>211</v>
      </c>
      <c r="K226" s="619" t="s">
        <v>211</v>
      </c>
      <c r="L226" s="619" t="s">
        <v>211</v>
      </c>
      <c r="M226" s="619" t="s">
        <v>211</v>
      </c>
      <c r="N226" s="990" t="s">
        <v>211</v>
      </c>
      <c r="O226" s="619" t="s">
        <v>211</v>
      </c>
      <c r="P226" s="619" t="s">
        <v>211</v>
      </c>
      <c r="Q226" s="619" t="s">
        <v>211</v>
      </c>
      <c r="R226" s="619" t="s">
        <v>211</v>
      </c>
      <c r="S226" s="619" t="s">
        <v>211</v>
      </c>
      <c r="T226" s="632" t="s">
        <v>211</v>
      </c>
    </row>
    <row r="227" spans="2:20" ht="15" hidden="1" customHeight="1" x14ac:dyDescent="0.25">
      <c r="B227" s="756" t="s">
        <v>163</v>
      </c>
      <c r="C227" s="920"/>
      <c r="D227" s="885"/>
      <c r="E227" s="621"/>
      <c r="F227" s="622"/>
      <c r="G227" s="650"/>
      <c r="H227" s="650"/>
      <c r="I227" s="621"/>
      <c r="J227" s="621"/>
      <c r="K227" s="621"/>
      <c r="L227" s="1047"/>
      <c r="M227" s="1047"/>
      <c r="N227" s="997"/>
      <c r="O227" s="621"/>
      <c r="P227" s="621"/>
      <c r="Q227" s="621"/>
      <c r="R227" s="621"/>
      <c r="S227" s="621"/>
      <c r="T227" s="643"/>
    </row>
    <row r="228" spans="2:20" ht="15" hidden="1" customHeight="1" x14ac:dyDescent="0.25">
      <c r="B228" s="509" t="s">
        <v>178</v>
      </c>
      <c r="C228" s="750"/>
      <c r="E228" s="607"/>
      <c r="F228" s="608" t="s">
        <v>237</v>
      </c>
      <c r="G228" s="609" t="e">
        <f>AVERAGE(I228:T228)</f>
        <v>#DIV/0!</v>
      </c>
      <c r="H228" s="609" t="e">
        <f>AVERAGE(J228:U228)</f>
        <v>#DIV/0!</v>
      </c>
      <c r="I228" s="636"/>
      <c r="J228" s="610"/>
      <c r="K228" s="610"/>
      <c r="L228" s="610"/>
      <c r="M228" s="610"/>
      <c r="N228" s="850"/>
      <c r="O228" s="610"/>
      <c r="P228" s="610"/>
      <c r="Q228" s="610"/>
      <c r="R228" s="610"/>
      <c r="S228" s="610"/>
      <c r="T228" s="611"/>
    </row>
    <row r="229" spans="2:20" ht="15" hidden="1" customHeight="1" x14ac:dyDescent="0.25">
      <c r="B229" s="522" t="s">
        <v>177</v>
      </c>
      <c r="C229" s="750"/>
      <c r="E229" s="607"/>
      <c r="F229" s="612" t="s">
        <v>227</v>
      </c>
      <c r="G229" s="613" t="e">
        <f>AVERAGE(I229:T229)</f>
        <v>#DIV/0!</v>
      </c>
      <c r="H229" s="613" t="e">
        <f>AVERAGE(J229:U229)</f>
        <v>#DIV/0!</v>
      </c>
      <c r="I229" s="614"/>
      <c r="J229" s="615"/>
      <c r="K229" s="615"/>
      <c r="L229" s="615"/>
      <c r="M229" s="615"/>
      <c r="N229" s="975"/>
      <c r="O229" s="615"/>
      <c r="P229" s="615"/>
      <c r="Q229" s="615"/>
      <c r="R229" s="615"/>
      <c r="S229" s="615"/>
      <c r="T229" s="616"/>
    </row>
    <row r="230" spans="2:20" ht="15" hidden="1" customHeight="1" x14ac:dyDescent="0.25">
      <c r="B230" s="522" t="s">
        <v>180</v>
      </c>
      <c r="C230" s="750"/>
      <c r="E230" s="607"/>
      <c r="F230" s="612" t="s">
        <v>225</v>
      </c>
      <c r="G230" s="613" t="e">
        <f>((ROUND(G228/G229,0)&amp;" : "&amp;"1"))</f>
        <v>#DIV/0!</v>
      </c>
      <c r="H230" s="613" t="e">
        <f>((ROUND(H228/H229,0)&amp;" : "&amp;"1"))</f>
        <v>#DIV/0!</v>
      </c>
      <c r="I230" s="614" t="e">
        <f>((ROUND(I228/I229,0)&amp;" : "&amp;"1"))</f>
        <v>#DIV/0!</v>
      </c>
      <c r="J230" s="614" t="e">
        <f t="shared" ref="J230:T230" si="33">((ROUND(J228/J229,0)&amp;" : "&amp;"1"))</f>
        <v>#DIV/0!</v>
      </c>
      <c r="K230" s="614" t="e">
        <f t="shared" si="33"/>
        <v>#DIV/0!</v>
      </c>
      <c r="L230" s="614" t="e">
        <f t="shared" si="33"/>
        <v>#DIV/0!</v>
      </c>
      <c r="M230" s="614" t="e">
        <f t="shared" si="33"/>
        <v>#DIV/0!</v>
      </c>
      <c r="N230" s="989" t="e">
        <f t="shared" si="33"/>
        <v>#DIV/0!</v>
      </c>
      <c r="O230" s="614" t="e">
        <f t="shared" si="33"/>
        <v>#DIV/0!</v>
      </c>
      <c r="P230" s="614" t="e">
        <f t="shared" si="33"/>
        <v>#DIV/0!</v>
      </c>
      <c r="Q230" s="614" t="e">
        <f t="shared" si="33"/>
        <v>#DIV/0!</v>
      </c>
      <c r="R230" s="614" t="e">
        <f t="shared" si="33"/>
        <v>#DIV/0!</v>
      </c>
      <c r="S230" s="614" t="e">
        <f t="shared" si="33"/>
        <v>#DIV/0!</v>
      </c>
      <c r="T230" s="631" t="e">
        <f t="shared" si="33"/>
        <v>#DIV/0!</v>
      </c>
    </row>
    <row r="231" spans="2:20" ht="15" hidden="1" customHeight="1" x14ac:dyDescent="0.25">
      <c r="B231" s="514" t="s">
        <v>179</v>
      </c>
      <c r="C231" s="750"/>
      <c r="E231" s="607"/>
      <c r="F231" s="617" t="s">
        <v>212</v>
      </c>
      <c r="G231" s="618" t="s">
        <v>212</v>
      </c>
      <c r="H231" s="618" t="s">
        <v>212</v>
      </c>
      <c r="I231" s="619" t="s">
        <v>212</v>
      </c>
      <c r="J231" s="619" t="s">
        <v>212</v>
      </c>
      <c r="K231" s="619" t="s">
        <v>212</v>
      </c>
      <c r="L231" s="619" t="s">
        <v>212</v>
      </c>
      <c r="M231" s="619" t="s">
        <v>212</v>
      </c>
      <c r="N231" s="990" t="s">
        <v>212</v>
      </c>
      <c r="O231" s="619" t="s">
        <v>212</v>
      </c>
      <c r="P231" s="619" t="s">
        <v>212</v>
      </c>
      <c r="Q231" s="619" t="s">
        <v>212</v>
      </c>
      <c r="R231" s="619" t="s">
        <v>212</v>
      </c>
      <c r="S231" s="619" t="s">
        <v>212</v>
      </c>
      <c r="T231" s="632" t="s">
        <v>212</v>
      </c>
    </row>
    <row r="232" spans="2:20" ht="15" hidden="1" customHeight="1" x14ac:dyDescent="0.25">
      <c r="B232" s="756" t="s">
        <v>202</v>
      </c>
      <c r="C232" s="920"/>
      <c r="D232" s="885"/>
      <c r="E232" s="621"/>
      <c r="F232" s="622"/>
      <c r="G232" s="650"/>
      <c r="H232" s="650"/>
      <c r="I232" s="621"/>
      <c r="J232" s="621"/>
      <c r="K232" s="621"/>
      <c r="L232" s="1047"/>
      <c r="M232" s="1047"/>
      <c r="N232" s="997"/>
      <c r="O232" s="621"/>
      <c r="P232" s="621"/>
      <c r="Q232" s="621"/>
      <c r="R232" s="621"/>
      <c r="S232" s="621"/>
      <c r="T232" s="643"/>
    </row>
    <row r="233" spans="2:20" ht="15" hidden="1" customHeight="1" x14ac:dyDescent="0.25">
      <c r="B233" s="509" t="s">
        <v>178</v>
      </c>
      <c r="C233" s="750"/>
      <c r="E233" s="607"/>
      <c r="F233" s="608" t="s">
        <v>238</v>
      </c>
      <c r="G233" s="609" t="e">
        <f>AVERAGE(I233:T233)</f>
        <v>#DIV/0!</v>
      </c>
      <c r="H233" s="609" t="e">
        <f>AVERAGE(J233:U233)</f>
        <v>#DIV/0!</v>
      </c>
      <c r="I233" s="636"/>
      <c r="J233" s="610"/>
      <c r="K233" s="610"/>
      <c r="L233" s="610"/>
      <c r="M233" s="610"/>
      <c r="N233" s="850"/>
      <c r="O233" s="610"/>
      <c r="P233" s="610"/>
      <c r="Q233" s="610"/>
      <c r="R233" s="610"/>
      <c r="S233" s="610"/>
      <c r="T233" s="611"/>
    </row>
    <row r="234" spans="2:20" ht="15" hidden="1" customHeight="1" x14ac:dyDescent="0.25">
      <c r="B234" s="522" t="s">
        <v>177</v>
      </c>
      <c r="C234" s="750"/>
      <c r="E234" s="607"/>
      <c r="F234" s="612" t="s">
        <v>235</v>
      </c>
      <c r="G234" s="613" t="e">
        <f>AVERAGE(I234:T234)</f>
        <v>#DIV/0!</v>
      </c>
      <c r="H234" s="613" t="e">
        <f>AVERAGE(J234:U234)</f>
        <v>#DIV/0!</v>
      </c>
      <c r="I234" s="614"/>
      <c r="J234" s="615"/>
      <c r="K234" s="615"/>
      <c r="L234" s="615"/>
      <c r="M234" s="615"/>
      <c r="N234" s="975"/>
      <c r="O234" s="615"/>
      <c r="P234" s="615"/>
      <c r="Q234" s="615"/>
      <c r="R234" s="615"/>
      <c r="S234" s="615"/>
      <c r="T234" s="616"/>
    </row>
    <row r="235" spans="2:20" ht="15" hidden="1" customHeight="1" x14ac:dyDescent="0.25">
      <c r="B235" s="522" t="s">
        <v>180</v>
      </c>
      <c r="C235" s="750"/>
      <c r="E235" s="607"/>
      <c r="F235" s="612" t="s">
        <v>236</v>
      </c>
      <c r="G235" s="613" t="e">
        <f>((ROUND(G233/G234,0)&amp;" : "&amp;"1"))</f>
        <v>#DIV/0!</v>
      </c>
      <c r="H235" s="613" t="e">
        <f>((ROUND(H233/H234,0)&amp;" : "&amp;"1"))</f>
        <v>#DIV/0!</v>
      </c>
      <c r="I235" s="614" t="e">
        <f>((ROUND(I233/I234,0)&amp;" : "&amp;"1"))</f>
        <v>#DIV/0!</v>
      </c>
      <c r="J235" s="614" t="e">
        <f t="shared" ref="J235:T235" si="34">((ROUND(J233/J234,0)&amp;" : "&amp;"1"))</f>
        <v>#DIV/0!</v>
      </c>
      <c r="K235" s="614" t="e">
        <f t="shared" si="34"/>
        <v>#DIV/0!</v>
      </c>
      <c r="L235" s="614" t="e">
        <f t="shared" si="34"/>
        <v>#DIV/0!</v>
      </c>
      <c r="M235" s="614" t="e">
        <f t="shared" si="34"/>
        <v>#DIV/0!</v>
      </c>
      <c r="N235" s="989" t="e">
        <f t="shared" si="34"/>
        <v>#DIV/0!</v>
      </c>
      <c r="O235" s="614" t="e">
        <f t="shared" si="34"/>
        <v>#DIV/0!</v>
      </c>
      <c r="P235" s="614" t="e">
        <f t="shared" si="34"/>
        <v>#DIV/0!</v>
      </c>
      <c r="Q235" s="614" t="e">
        <f t="shared" si="34"/>
        <v>#DIV/0!</v>
      </c>
      <c r="R235" s="614" t="e">
        <f t="shared" si="34"/>
        <v>#DIV/0!</v>
      </c>
      <c r="S235" s="614" t="e">
        <f t="shared" si="34"/>
        <v>#DIV/0!</v>
      </c>
      <c r="T235" s="631" t="e">
        <f t="shared" si="34"/>
        <v>#DIV/0!</v>
      </c>
    </row>
    <row r="236" spans="2:20" ht="15" hidden="1" customHeight="1" x14ac:dyDescent="0.25">
      <c r="B236" s="759" t="s">
        <v>179</v>
      </c>
      <c r="C236" s="914"/>
      <c r="D236" s="880"/>
      <c r="E236" s="637"/>
      <c r="F236" s="638" t="s">
        <v>211</v>
      </c>
      <c r="G236" s="639" t="s">
        <v>211</v>
      </c>
      <c r="H236" s="639" t="s">
        <v>211</v>
      </c>
      <c r="I236" s="640" t="s">
        <v>189</v>
      </c>
      <c r="J236" s="640" t="s">
        <v>189</v>
      </c>
      <c r="K236" s="640" t="s">
        <v>189</v>
      </c>
      <c r="L236" s="640" t="s">
        <v>189</v>
      </c>
      <c r="M236" s="640" t="s">
        <v>189</v>
      </c>
      <c r="N236" s="995" t="s">
        <v>189</v>
      </c>
      <c r="O236" s="640" t="s">
        <v>189</v>
      </c>
      <c r="P236" s="640" t="s">
        <v>189</v>
      </c>
      <c r="Q236" s="651" t="s">
        <v>211</v>
      </c>
      <c r="R236" s="651" t="s">
        <v>211</v>
      </c>
      <c r="S236" s="651" t="s">
        <v>211</v>
      </c>
      <c r="T236" s="652" t="s">
        <v>211</v>
      </c>
    </row>
    <row r="237" spans="2:20" hidden="1" x14ac:dyDescent="0.25"/>
    <row r="238" spans="2:20" hidden="1" x14ac:dyDescent="0.25"/>
  </sheetData>
  <mergeCells count="36">
    <mergeCell ref="B24:T24"/>
    <mergeCell ref="E1:F1"/>
    <mergeCell ref="B3:T3"/>
    <mergeCell ref="B4:T4"/>
    <mergeCell ref="B5:T5"/>
    <mergeCell ref="B13:T13"/>
    <mergeCell ref="B104:T104"/>
    <mergeCell ref="B44:T44"/>
    <mergeCell ref="E48:F49"/>
    <mergeCell ref="G48:G49"/>
    <mergeCell ref="B52:T52"/>
    <mergeCell ref="B57:T57"/>
    <mergeCell ref="B64:T64"/>
    <mergeCell ref="B77:T77"/>
    <mergeCell ref="B78:T78"/>
    <mergeCell ref="B84:T84"/>
    <mergeCell ref="B88:T88"/>
    <mergeCell ref="B98:T98"/>
    <mergeCell ref="H48:H49"/>
    <mergeCell ref="B164:T164"/>
    <mergeCell ref="B107:T107"/>
    <mergeCell ref="B117:T117"/>
    <mergeCell ref="B118:T118"/>
    <mergeCell ref="B124:T124"/>
    <mergeCell ref="B129:T129"/>
    <mergeCell ref="B136:T136"/>
    <mergeCell ref="B137:T137"/>
    <mergeCell ref="B142:T142"/>
    <mergeCell ref="B148:T148"/>
    <mergeCell ref="B149:T149"/>
    <mergeCell ref="B157:T157"/>
    <mergeCell ref="B172:T172"/>
    <mergeCell ref="B174:T174"/>
    <mergeCell ref="L222:M222"/>
    <mergeCell ref="L227:M227"/>
    <mergeCell ref="L232:M232"/>
  </mergeCells>
  <pageMargins left="0.25" right="0.25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25"/>
  <sheetViews>
    <sheetView topLeftCell="B1" zoomScale="70" zoomScaleNormal="70" workbookViewId="0">
      <pane xSplit="1" topLeftCell="C1" activePane="topRight" state="frozen"/>
      <selection activeCell="B81" sqref="B81"/>
      <selection pane="topRight" activeCell="F25" sqref="F25:Q25"/>
    </sheetView>
  </sheetViews>
  <sheetFormatPr defaultColWidth="8.85546875" defaultRowHeight="18.75" x14ac:dyDescent="0.3"/>
  <cols>
    <col min="1" max="1" width="9.140625" style="1" hidden="1" customWidth="1"/>
    <col min="2" max="2" width="66.140625" style="1" customWidth="1"/>
    <col min="3" max="4" width="10.140625" style="10" bestFit="1" customWidth="1"/>
    <col min="5" max="5" width="13.5703125" style="9" customWidth="1"/>
    <col min="6" max="6" width="12.140625" style="10" bestFit="1" customWidth="1"/>
    <col min="7" max="7" width="12.140625" style="10" customWidth="1"/>
    <col min="8" max="8" width="12.85546875" style="10" customWidth="1"/>
    <col min="9" max="9" width="12.140625" style="10" customWidth="1"/>
    <col min="10" max="10" width="12.5703125" style="10" customWidth="1"/>
    <col min="11" max="11" width="12.140625" style="10" bestFit="1" customWidth="1"/>
    <col min="12" max="14" width="11.140625" style="10" bestFit="1" customWidth="1"/>
    <col min="15" max="15" width="11.140625" style="10" customWidth="1"/>
    <col min="16" max="16" width="11.85546875" style="10" customWidth="1"/>
    <col min="17" max="17" width="11.140625" style="10" customWidth="1"/>
    <col min="18" max="18" width="8.85546875" style="1" hidden="1" customWidth="1"/>
    <col min="19" max="16384" width="8.85546875" style="1"/>
  </cols>
  <sheetData>
    <row r="1" spans="1:17" x14ac:dyDescent="0.3">
      <c r="A1" s="4"/>
      <c r="B1" s="11"/>
      <c r="C1" s="1096" t="s">
        <v>110</v>
      </c>
      <c r="D1" s="1097"/>
      <c r="E1" s="12" t="s">
        <v>123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x14ac:dyDescent="0.3">
      <c r="A2" s="5"/>
      <c r="B2" s="15"/>
      <c r="C2" s="16" t="s">
        <v>2</v>
      </c>
      <c r="D2" s="17" t="s">
        <v>159</v>
      </c>
      <c r="E2" s="18" t="s">
        <v>169</v>
      </c>
      <c r="F2" s="19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</row>
    <row r="3" spans="1:17" x14ac:dyDescent="0.3">
      <c r="A3" s="5"/>
      <c r="B3" s="1098" t="s">
        <v>72</v>
      </c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099"/>
      <c r="Q3" s="1100"/>
    </row>
    <row r="4" spans="1:17" x14ac:dyDescent="0.3">
      <c r="A4" s="5"/>
      <c r="B4" s="1101" t="s">
        <v>3</v>
      </c>
      <c r="C4" s="1102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  <c r="Q4" s="1103"/>
    </row>
    <row r="5" spans="1:17" x14ac:dyDescent="0.3">
      <c r="A5" s="5"/>
      <c r="B5" s="1093" t="s">
        <v>18</v>
      </c>
      <c r="C5" s="1094"/>
      <c r="D5" s="1094"/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5"/>
    </row>
    <row r="6" spans="1:17" ht="24" customHeight="1" x14ac:dyDescent="0.3">
      <c r="A6" s="5"/>
      <c r="B6" s="21" t="s">
        <v>4</v>
      </c>
      <c r="C6" s="22">
        <v>3418</v>
      </c>
      <c r="D6" s="23">
        <v>3424</v>
      </c>
      <c r="E6" s="159">
        <f t="shared" ref="E6:E12" si="0">SUM(F6:Q6)</f>
        <v>3182</v>
      </c>
      <c r="F6" s="24">
        <v>287</v>
      </c>
      <c r="G6" s="25">
        <v>252</v>
      </c>
      <c r="H6" s="25">
        <v>284</v>
      </c>
      <c r="I6" s="25">
        <v>290</v>
      </c>
      <c r="J6" s="25">
        <v>261</v>
      </c>
      <c r="K6" s="25">
        <v>249</v>
      </c>
      <c r="L6" s="25">
        <v>220</v>
      </c>
      <c r="M6" s="25">
        <v>239</v>
      </c>
      <c r="N6" s="25">
        <v>294</v>
      </c>
      <c r="O6" s="25">
        <v>286</v>
      </c>
      <c r="P6" s="25">
        <v>279</v>
      </c>
      <c r="Q6" s="26">
        <v>241</v>
      </c>
    </row>
    <row r="7" spans="1:17" ht="24" customHeight="1" x14ac:dyDescent="0.3">
      <c r="A7" s="5"/>
      <c r="B7" s="27" t="s">
        <v>5</v>
      </c>
      <c r="C7" s="28">
        <v>1872</v>
      </c>
      <c r="D7" s="29">
        <v>2002</v>
      </c>
      <c r="E7" s="160">
        <f t="shared" si="0"/>
        <v>1710</v>
      </c>
      <c r="F7" s="30">
        <v>161</v>
      </c>
      <c r="G7" s="31">
        <v>149</v>
      </c>
      <c r="H7" s="31">
        <v>166</v>
      </c>
      <c r="I7" s="31">
        <v>169</v>
      </c>
      <c r="J7" s="31">
        <v>139</v>
      </c>
      <c r="K7" s="31">
        <v>126</v>
      </c>
      <c r="L7" s="31">
        <v>108</v>
      </c>
      <c r="M7" s="31">
        <v>115</v>
      </c>
      <c r="N7" s="31">
        <v>158</v>
      </c>
      <c r="O7" s="31">
        <v>144</v>
      </c>
      <c r="P7" s="31">
        <v>148</v>
      </c>
      <c r="Q7" s="32">
        <v>127</v>
      </c>
    </row>
    <row r="8" spans="1:17" ht="24" customHeight="1" x14ac:dyDescent="0.3">
      <c r="A8" s="5"/>
      <c r="B8" s="241" t="s">
        <v>143</v>
      </c>
      <c r="C8" s="33">
        <v>2931</v>
      </c>
      <c r="D8" s="34">
        <v>4820</v>
      </c>
      <c r="E8" s="160">
        <f t="shared" si="0"/>
        <v>5271</v>
      </c>
      <c r="F8" s="205">
        <f>141+152+35+65+189</f>
        <v>582</v>
      </c>
      <c r="G8" s="195">
        <f>134+134+62+77+1</f>
        <v>408</v>
      </c>
      <c r="H8" s="195">
        <f>115+181+137+2+44</f>
        <v>479</v>
      </c>
      <c r="I8" s="195">
        <f>168+165+120+13+46</f>
        <v>512</v>
      </c>
      <c r="J8" s="195">
        <f>108+144+116+12+24</f>
        <v>404</v>
      </c>
      <c r="K8" s="195">
        <f>108+1+162+92+13+20+0</f>
        <v>396</v>
      </c>
      <c r="L8" s="31">
        <f>113+0+156+66+4+27</f>
        <v>366</v>
      </c>
      <c r="M8" s="31">
        <f>93+1+117+120+10+22</f>
        <v>363</v>
      </c>
      <c r="N8" s="31">
        <f>143+5+164+142+0+45</f>
        <v>499</v>
      </c>
      <c r="O8" s="31">
        <f>133+2+114+146+22+24+0</f>
        <v>441</v>
      </c>
      <c r="P8" s="31">
        <f>135+152+108+5+41</f>
        <v>441</v>
      </c>
      <c r="Q8" s="32">
        <f>131+2+122+83+3+39</f>
        <v>380</v>
      </c>
    </row>
    <row r="9" spans="1:17" s="2" customFormat="1" ht="24" customHeight="1" x14ac:dyDescent="0.25">
      <c r="A9" s="6"/>
      <c r="B9" s="21" t="s">
        <v>145</v>
      </c>
      <c r="C9" s="210">
        <v>374</v>
      </c>
      <c r="D9" s="42">
        <v>302</v>
      </c>
      <c r="E9" s="162">
        <f t="shared" si="0"/>
        <v>237</v>
      </c>
      <c r="F9" s="43">
        <v>27</v>
      </c>
      <c r="G9" s="44">
        <v>38</v>
      </c>
      <c r="H9" s="44">
        <v>22</v>
      </c>
      <c r="I9" s="44">
        <v>29</v>
      </c>
      <c r="J9" s="44">
        <v>14</v>
      </c>
      <c r="K9" s="44">
        <v>28</v>
      </c>
      <c r="L9" s="44">
        <v>18</v>
      </c>
      <c r="M9" s="44">
        <v>36</v>
      </c>
      <c r="N9" s="44">
        <v>3</v>
      </c>
      <c r="O9" s="44">
        <v>3</v>
      </c>
      <c r="P9" s="44">
        <v>9</v>
      </c>
      <c r="Q9" s="45">
        <v>10</v>
      </c>
    </row>
    <row r="10" spans="1:17" s="2" customFormat="1" ht="37.35" customHeight="1" x14ac:dyDescent="0.25">
      <c r="A10" s="6"/>
      <c r="B10" s="183" t="s">
        <v>147</v>
      </c>
      <c r="C10" s="204">
        <v>354</v>
      </c>
      <c r="D10" s="42">
        <v>245</v>
      </c>
      <c r="E10" s="162">
        <f t="shared" si="0"/>
        <v>219</v>
      </c>
      <c r="F10" s="43">
        <v>23</v>
      </c>
      <c r="G10" s="44">
        <v>34</v>
      </c>
      <c r="H10" s="44">
        <v>21</v>
      </c>
      <c r="I10" s="44">
        <v>27</v>
      </c>
      <c r="J10" s="44">
        <v>12</v>
      </c>
      <c r="K10" s="44">
        <v>25</v>
      </c>
      <c r="L10" s="44">
        <v>17</v>
      </c>
      <c r="M10" s="44">
        <v>36</v>
      </c>
      <c r="N10" s="44">
        <v>3</v>
      </c>
      <c r="O10" s="44">
        <v>3</v>
      </c>
      <c r="P10" s="44">
        <v>8</v>
      </c>
      <c r="Q10" s="45">
        <v>10</v>
      </c>
    </row>
    <row r="11" spans="1:17" s="2" customFormat="1" ht="24" customHeight="1" x14ac:dyDescent="0.25">
      <c r="A11" s="6"/>
      <c r="B11" s="46" t="s">
        <v>146</v>
      </c>
      <c r="C11" s="204">
        <v>1466</v>
      </c>
      <c r="D11" s="42">
        <v>1163</v>
      </c>
      <c r="E11" s="163">
        <f t="shared" si="0"/>
        <v>1029</v>
      </c>
      <c r="F11" s="43">
        <v>142</v>
      </c>
      <c r="G11" s="44">
        <v>209</v>
      </c>
      <c r="H11" s="44">
        <v>71</v>
      </c>
      <c r="I11" s="44">
        <v>67</v>
      </c>
      <c r="J11" s="44">
        <v>83</v>
      </c>
      <c r="K11" s="44">
        <v>90</v>
      </c>
      <c r="L11" s="44">
        <v>61</v>
      </c>
      <c r="M11" s="44">
        <v>129</v>
      </c>
      <c r="N11" s="44">
        <v>33</v>
      </c>
      <c r="O11" s="44">
        <v>27</v>
      </c>
      <c r="P11" s="44">
        <v>63</v>
      </c>
      <c r="Q11" s="45">
        <v>54</v>
      </c>
    </row>
    <row r="12" spans="1:17" s="2" customFormat="1" ht="24" customHeight="1" x14ac:dyDescent="0.25">
      <c r="A12" s="6"/>
      <c r="B12" s="188" t="s">
        <v>148</v>
      </c>
      <c r="C12" s="204">
        <v>1387</v>
      </c>
      <c r="D12" s="34">
        <v>1101</v>
      </c>
      <c r="E12" s="160">
        <f t="shared" si="0"/>
        <v>925</v>
      </c>
      <c r="F12" s="30">
        <v>128</v>
      </c>
      <c r="G12" s="31">
        <v>189</v>
      </c>
      <c r="H12" s="31">
        <v>66</v>
      </c>
      <c r="I12" s="31">
        <v>62</v>
      </c>
      <c r="J12" s="31">
        <v>76</v>
      </c>
      <c r="K12" s="31">
        <v>81</v>
      </c>
      <c r="L12" s="31">
        <v>54</v>
      </c>
      <c r="M12" s="31">
        <v>108</v>
      </c>
      <c r="N12" s="31">
        <v>33</v>
      </c>
      <c r="O12" s="31">
        <v>25</v>
      </c>
      <c r="P12" s="31">
        <v>56</v>
      </c>
      <c r="Q12" s="32">
        <v>47</v>
      </c>
    </row>
    <row r="13" spans="1:17" s="2" customFormat="1" ht="18.600000000000001" hidden="1" customHeight="1" x14ac:dyDescent="0.25">
      <c r="A13" s="6"/>
      <c r="B13" s="319" t="s">
        <v>19</v>
      </c>
      <c r="C13" s="320"/>
      <c r="D13" s="321"/>
      <c r="E13" s="322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4"/>
    </row>
    <row r="14" spans="1:17" s="2" customFormat="1" ht="24" hidden="1" customHeight="1" x14ac:dyDescent="0.25">
      <c r="A14" s="6"/>
      <c r="B14" s="326" t="s">
        <v>192</v>
      </c>
      <c r="C14" s="325"/>
      <c r="D14" s="263"/>
      <c r="E14" s="344"/>
      <c r="F14" s="34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6"/>
    </row>
    <row r="15" spans="1:17" s="2" customFormat="1" ht="24" hidden="1" customHeight="1" x14ac:dyDescent="0.25">
      <c r="A15" s="6"/>
      <c r="B15" s="327" t="s">
        <v>22</v>
      </c>
      <c r="C15" s="325"/>
      <c r="D15" s="263"/>
      <c r="E15" s="334"/>
      <c r="F15" s="24"/>
      <c r="G15" s="25">
        <v>117</v>
      </c>
      <c r="H15" s="25"/>
      <c r="I15" s="25"/>
      <c r="J15" s="25"/>
      <c r="K15" s="25"/>
      <c r="L15" s="25"/>
      <c r="M15" s="25"/>
      <c r="N15" s="25"/>
      <c r="O15" s="25"/>
      <c r="P15" s="25"/>
      <c r="Q15" s="26"/>
    </row>
    <row r="16" spans="1:17" s="2" customFormat="1" ht="24" hidden="1" customHeight="1" x14ac:dyDescent="0.25">
      <c r="A16" s="6"/>
      <c r="B16" s="327" t="s">
        <v>23</v>
      </c>
      <c r="C16" s="325"/>
      <c r="D16" s="263"/>
      <c r="E16" s="335"/>
      <c r="F16" s="24"/>
      <c r="G16" s="25">
        <v>93</v>
      </c>
      <c r="H16" s="25"/>
      <c r="I16" s="25"/>
      <c r="J16" s="25"/>
      <c r="K16" s="25"/>
      <c r="L16" s="25"/>
      <c r="M16" s="25"/>
      <c r="N16" s="25"/>
      <c r="O16" s="25"/>
      <c r="P16" s="25"/>
      <c r="Q16" s="26"/>
    </row>
    <row r="17" spans="1:17" s="2" customFormat="1" ht="24" hidden="1" customHeight="1" x14ac:dyDescent="0.25">
      <c r="A17" s="6"/>
      <c r="B17" s="327" t="s">
        <v>199</v>
      </c>
      <c r="C17" s="325"/>
      <c r="D17" s="263"/>
      <c r="E17" s="336"/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1:17" s="2" customFormat="1" ht="24" hidden="1" customHeight="1" x14ac:dyDescent="0.25">
      <c r="A18" s="6"/>
      <c r="B18" s="241" t="s">
        <v>193</v>
      </c>
      <c r="C18" s="325"/>
      <c r="D18" s="263"/>
      <c r="E18" s="163"/>
      <c r="F18" s="4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7" s="2" customFormat="1" ht="24" hidden="1" customHeight="1" x14ac:dyDescent="0.25">
      <c r="A19" s="6"/>
      <c r="B19" s="241" t="s">
        <v>194</v>
      </c>
      <c r="C19" s="325"/>
      <c r="D19" s="263"/>
      <c r="E19" s="163"/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/>
    </row>
    <row r="20" spans="1:17" s="2" customFormat="1" ht="24" hidden="1" customHeight="1" x14ac:dyDescent="0.25">
      <c r="A20" s="6"/>
      <c r="B20" s="327" t="s">
        <v>196</v>
      </c>
      <c r="C20" s="325"/>
      <c r="D20" s="263"/>
      <c r="E20" s="163"/>
      <c r="F20" s="4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</row>
    <row r="21" spans="1:17" s="2" customFormat="1" ht="24" hidden="1" customHeight="1" x14ac:dyDescent="0.25">
      <c r="A21" s="6"/>
      <c r="B21" s="327" t="s">
        <v>195</v>
      </c>
      <c r="C21" s="325"/>
      <c r="D21" s="263"/>
      <c r="E21" s="163"/>
      <c r="F21" s="4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</row>
    <row r="22" spans="1:17" s="2" customFormat="1" ht="24" hidden="1" customHeight="1" x14ac:dyDescent="0.25">
      <c r="A22" s="6"/>
      <c r="B22" s="241" t="s">
        <v>197</v>
      </c>
      <c r="C22" s="325"/>
      <c r="D22" s="263"/>
      <c r="E22" s="163"/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</row>
    <row r="23" spans="1:17" s="2" customFormat="1" ht="36.6" hidden="1" customHeight="1" x14ac:dyDescent="0.25">
      <c r="A23" s="6"/>
      <c r="B23" s="328" t="s">
        <v>198</v>
      </c>
      <c r="C23" s="325"/>
      <c r="D23" s="263"/>
      <c r="E23" s="160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</row>
    <row r="24" spans="1:17" x14ac:dyDescent="0.3">
      <c r="A24" s="5"/>
      <c r="B24" s="1093" t="s">
        <v>20</v>
      </c>
      <c r="C24" s="1094"/>
      <c r="D24" s="1094"/>
      <c r="E24" s="1094"/>
      <c r="F24" s="1094"/>
      <c r="G24" s="1094"/>
      <c r="H24" s="1094"/>
      <c r="I24" s="1094"/>
      <c r="J24" s="1094"/>
      <c r="K24" s="1094"/>
      <c r="L24" s="1094"/>
      <c r="M24" s="1094"/>
      <c r="N24" s="1094"/>
      <c r="O24" s="1094"/>
      <c r="P24" s="1094"/>
      <c r="Q24" s="1095"/>
    </row>
    <row r="25" spans="1:17" s="2" customFormat="1" ht="24" customHeight="1" x14ac:dyDescent="0.25">
      <c r="A25" s="6"/>
      <c r="B25" s="21" t="s">
        <v>21</v>
      </c>
      <c r="C25" s="1104"/>
      <c r="D25" s="1105"/>
      <c r="E25" s="1115"/>
      <c r="F25" s="24">
        <f>SUM(F26:F27)</f>
        <v>206</v>
      </c>
      <c r="G25" s="222">
        <f>SUM(G26:G27)</f>
        <v>210</v>
      </c>
      <c r="H25" s="222">
        <f>SUM(H26:H27)</f>
        <v>216</v>
      </c>
      <c r="I25" s="222">
        <f>SUM(I26:I27)</f>
        <v>221</v>
      </c>
      <c r="J25" s="222">
        <f t="shared" ref="J25:P25" si="1">SUM(J26:J27)</f>
        <v>227</v>
      </c>
      <c r="K25" s="222">
        <f t="shared" si="1"/>
        <v>240</v>
      </c>
      <c r="L25" s="222">
        <f t="shared" si="1"/>
        <v>241</v>
      </c>
      <c r="M25" s="222">
        <f t="shared" si="1"/>
        <v>234</v>
      </c>
      <c r="N25" s="222">
        <f>SUM(N26:N27)</f>
        <v>236</v>
      </c>
      <c r="O25" s="222">
        <f t="shared" si="1"/>
        <v>240</v>
      </c>
      <c r="P25" s="222">
        <f t="shared" si="1"/>
        <v>248</v>
      </c>
      <c r="Q25" s="267">
        <f>SUM(Q26:Q27)</f>
        <v>245</v>
      </c>
    </row>
    <row r="26" spans="1:17" s="2" customFormat="1" ht="24" customHeight="1" x14ac:dyDescent="0.25">
      <c r="A26" s="6"/>
      <c r="B26" s="185" t="s">
        <v>22</v>
      </c>
      <c r="C26" s="1104"/>
      <c r="D26" s="1105"/>
      <c r="E26" s="1115"/>
      <c r="F26" s="43">
        <v>117</v>
      </c>
      <c r="G26" s="44">
        <v>117</v>
      </c>
      <c r="H26" s="44">
        <v>123</v>
      </c>
      <c r="I26" s="44">
        <v>126</v>
      </c>
      <c r="J26" s="44">
        <v>128</v>
      </c>
      <c r="K26" s="44">
        <v>133</v>
      </c>
      <c r="L26" s="44">
        <v>133</v>
      </c>
      <c r="M26" s="44">
        <v>123</v>
      </c>
      <c r="N26" s="44">
        <v>121</v>
      </c>
      <c r="O26" s="44">
        <v>124</v>
      </c>
      <c r="P26" s="44">
        <v>127</v>
      </c>
      <c r="Q26" s="45">
        <v>129</v>
      </c>
    </row>
    <row r="27" spans="1:17" s="2" customFormat="1" ht="24" customHeight="1" x14ac:dyDescent="0.25">
      <c r="A27" s="6"/>
      <c r="B27" s="185" t="s">
        <v>23</v>
      </c>
      <c r="C27" s="1104"/>
      <c r="D27" s="1105"/>
      <c r="E27" s="1115"/>
      <c r="F27" s="43">
        <v>89</v>
      </c>
      <c r="G27" s="44">
        <v>93</v>
      </c>
      <c r="H27" s="44">
        <v>93</v>
      </c>
      <c r="I27" s="44">
        <v>95</v>
      </c>
      <c r="J27" s="44">
        <v>99</v>
      </c>
      <c r="K27" s="44">
        <v>107</v>
      </c>
      <c r="L27" s="44">
        <v>108</v>
      </c>
      <c r="M27" s="44">
        <v>111</v>
      </c>
      <c r="N27" s="44">
        <v>115</v>
      </c>
      <c r="O27" s="44">
        <v>116</v>
      </c>
      <c r="P27" s="44">
        <v>121</v>
      </c>
      <c r="Q27" s="45">
        <v>116</v>
      </c>
    </row>
    <row r="28" spans="1:17" s="2" customFormat="1" ht="24" customHeight="1" x14ac:dyDescent="0.25">
      <c r="A28" s="6"/>
      <c r="B28" s="185" t="s">
        <v>25</v>
      </c>
      <c r="C28" s="1104"/>
      <c r="D28" s="1105"/>
      <c r="E28" s="1115"/>
      <c r="F28" s="43">
        <v>93</v>
      </c>
      <c r="G28" s="44">
        <v>96</v>
      </c>
      <c r="H28" s="44">
        <v>101</v>
      </c>
      <c r="I28" s="44">
        <v>111</v>
      </c>
      <c r="J28" s="44">
        <v>112</v>
      </c>
      <c r="K28" s="44">
        <v>129</v>
      </c>
      <c r="L28" s="44">
        <v>122</v>
      </c>
      <c r="M28" s="44">
        <v>112</v>
      </c>
      <c r="N28" s="44">
        <v>105</v>
      </c>
      <c r="O28" s="44">
        <v>106</v>
      </c>
      <c r="P28" s="44">
        <v>105</v>
      </c>
      <c r="Q28" s="45">
        <v>100</v>
      </c>
    </row>
    <row r="29" spans="1:17" s="2" customFormat="1" ht="24" customHeight="1" x14ac:dyDescent="0.25">
      <c r="A29" s="6"/>
      <c r="B29" s="185" t="s">
        <v>24</v>
      </c>
      <c r="C29" s="1104"/>
      <c r="D29" s="1105"/>
      <c r="E29" s="1115"/>
      <c r="F29" s="43">
        <v>63</v>
      </c>
      <c r="G29" s="44">
        <v>63</v>
      </c>
      <c r="H29" s="44">
        <v>63</v>
      </c>
      <c r="I29" s="44">
        <v>60</v>
      </c>
      <c r="J29" s="44">
        <v>59</v>
      </c>
      <c r="K29" s="44">
        <v>49</v>
      </c>
      <c r="L29" s="44">
        <v>56</v>
      </c>
      <c r="M29" s="44">
        <v>66</v>
      </c>
      <c r="N29" s="44">
        <v>77</v>
      </c>
      <c r="O29" s="44">
        <v>76</v>
      </c>
      <c r="P29" s="44">
        <v>77</v>
      </c>
      <c r="Q29" s="45">
        <v>78</v>
      </c>
    </row>
    <row r="30" spans="1:17" s="2" customFormat="1" ht="24" customHeight="1" x14ac:dyDescent="0.25">
      <c r="A30" s="6"/>
      <c r="B30" s="185" t="s">
        <v>26</v>
      </c>
      <c r="C30" s="1104"/>
      <c r="D30" s="1105"/>
      <c r="E30" s="1115"/>
      <c r="F30" s="43">
        <v>50</v>
      </c>
      <c r="G30" s="44">
        <v>51</v>
      </c>
      <c r="H30" s="44">
        <v>52</v>
      </c>
      <c r="I30" s="44">
        <v>50</v>
      </c>
      <c r="J30" s="44">
        <v>56</v>
      </c>
      <c r="K30" s="44">
        <v>62</v>
      </c>
      <c r="L30" s="44">
        <v>63</v>
      </c>
      <c r="M30" s="44">
        <v>56</v>
      </c>
      <c r="N30" s="44">
        <v>54</v>
      </c>
      <c r="O30" s="44">
        <v>58</v>
      </c>
      <c r="P30" s="44">
        <v>66</v>
      </c>
      <c r="Q30" s="45">
        <v>67</v>
      </c>
    </row>
    <row r="31" spans="1:17" s="2" customFormat="1" ht="37.5" x14ac:dyDescent="0.25">
      <c r="A31" s="6"/>
      <c r="B31" s="49" t="s">
        <v>121</v>
      </c>
      <c r="C31" s="1104"/>
      <c r="D31" s="1105"/>
      <c r="E31" s="1115"/>
      <c r="F31" s="43">
        <v>5</v>
      </c>
      <c r="G31" s="44">
        <v>2</v>
      </c>
      <c r="H31" s="44">
        <v>1</v>
      </c>
      <c r="I31" s="44">
        <v>1</v>
      </c>
      <c r="J31" s="44">
        <v>1</v>
      </c>
      <c r="K31" s="44">
        <v>1</v>
      </c>
      <c r="L31" s="44">
        <v>1</v>
      </c>
      <c r="M31" s="44">
        <v>2</v>
      </c>
      <c r="N31" s="44">
        <v>2</v>
      </c>
      <c r="O31" s="44">
        <v>3</v>
      </c>
      <c r="P31" s="44">
        <v>3</v>
      </c>
      <c r="Q31" s="45">
        <v>1</v>
      </c>
    </row>
    <row r="32" spans="1:17" s="2" customFormat="1" ht="24" customHeight="1" x14ac:dyDescent="0.25">
      <c r="A32" s="6"/>
      <c r="B32" s="46" t="s">
        <v>111</v>
      </c>
      <c r="C32" s="1106"/>
      <c r="D32" s="1107"/>
      <c r="E32" s="161">
        <f>SUM(F32:Q32)</f>
        <v>80</v>
      </c>
      <c r="F32" s="43">
        <v>0</v>
      </c>
      <c r="G32" s="44">
        <v>5</v>
      </c>
      <c r="H32" s="44">
        <v>10</v>
      </c>
      <c r="I32" s="44">
        <v>8</v>
      </c>
      <c r="J32" s="44">
        <v>8</v>
      </c>
      <c r="K32" s="256">
        <v>14</v>
      </c>
      <c r="L32" s="44">
        <v>2</v>
      </c>
      <c r="M32" s="44">
        <v>5</v>
      </c>
      <c r="N32" s="44">
        <v>9</v>
      </c>
      <c r="O32" s="44">
        <v>3</v>
      </c>
      <c r="P32" s="44">
        <v>12</v>
      </c>
      <c r="Q32" s="45">
        <v>4</v>
      </c>
    </row>
    <row r="33" spans="1:17" s="2" customFormat="1" ht="24" customHeight="1" x14ac:dyDescent="0.25">
      <c r="A33" s="6"/>
      <c r="B33" s="46" t="s">
        <v>138</v>
      </c>
      <c r="C33" s="1106"/>
      <c r="D33" s="1107"/>
      <c r="E33" s="164">
        <f>SUM(F33:Q33)</f>
        <v>65</v>
      </c>
      <c r="F33" s="30">
        <f>SUM(F35:F40)</f>
        <v>2</v>
      </c>
      <c r="G33" s="232">
        <f>SUM(G35:G40)</f>
        <v>5</v>
      </c>
      <c r="H33" s="234">
        <f t="shared" ref="H33:P33" si="2">SUM(H35:H40)</f>
        <v>1</v>
      </c>
      <c r="I33" s="234">
        <f t="shared" si="2"/>
        <v>5</v>
      </c>
      <c r="J33" s="234">
        <f t="shared" si="2"/>
        <v>6</v>
      </c>
      <c r="K33" s="234">
        <f t="shared" si="2"/>
        <v>4</v>
      </c>
      <c r="L33" s="234">
        <f t="shared" si="2"/>
        <v>2</v>
      </c>
      <c r="M33" s="234">
        <f t="shared" si="2"/>
        <v>10</v>
      </c>
      <c r="N33" s="234">
        <f t="shared" si="2"/>
        <v>10</v>
      </c>
      <c r="O33" s="234">
        <f t="shared" si="2"/>
        <v>7</v>
      </c>
      <c r="P33" s="234">
        <f t="shared" si="2"/>
        <v>1</v>
      </c>
      <c r="Q33" s="269">
        <f>SUM(Q35:Q40)</f>
        <v>12</v>
      </c>
    </row>
    <row r="34" spans="1:17" s="2" customFormat="1" ht="24" customHeight="1" x14ac:dyDescent="0.25">
      <c r="A34" s="6"/>
      <c r="B34" s="186" t="s">
        <v>112</v>
      </c>
      <c r="C34" s="56"/>
      <c r="D34" s="57"/>
      <c r="E34" s="58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270"/>
    </row>
    <row r="35" spans="1:17" s="2" customFormat="1" ht="24" customHeight="1" x14ac:dyDescent="0.25">
      <c r="A35" s="6"/>
      <c r="B35" s="186" t="s">
        <v>113</v>
      </c>
      <c r="C35" s="1108"/>
      <c r="D35" s="1109"/>
      <c r="E35" s="161">
        <f t="shared" ref="E35:E40" si="3">SUM(F35:Q35)</f>
        <v>20</v>
      </c>
      <c r="F35" s="24">
        <v>1</v>
      </c>
      <c r="G35" s="229">
        <v>3</v>
      </c>
      <c r="H35" s="25">
        <v>0</v>
      </c>
      <c r="I35" s="25">
        <v>1</v>
      </c>
      <c r="J35" s="25">
        <v>0</v>
      </c>
      <c r="K35" s="25">
        <v>1</v>
      </c>
      <c r="L35" s="25">
        <v>0</v>
      </c>
      <c r="M35" s="25">
        <v>0</v>
      </c>
      <c r="N35" s="25">
        <v>8</v>
      </c>
      <c r="O35" s="25">
        <v>1</v>
      </c>
      <c r="P35" s="25">
        <v>0</v>
      </c>
      <c r="Q35" s="202">
        <v>5</v>
      </c>
    </row>
    <row r="36" spans="1:17" s="2" customFormat="1" ht="24" customHeight="1" x14ac:dyDescent="0.25">
      <c r="A36" s="6"/>
      <c r="B36" s="186" t="s">
        <v>139</v>
      </c>
      <c r="C36" s="1108"/>
      <c r="D36" s="1109"/>
      <c r="E36" s="161">
        <f t="shared" si="3"/>
        <v>3</v>
      </c>
      <c r="F36" s="24">
        <v>0</v>
      </c>
      <c r="G36" s="229">
        <v>0</v>
      </c>
      <c r="H36" s="25">
        <v>0</v>
      </c>
      <c r="I36" s="25">
        <v>0</v>
      </c>
      <c r="J36" s="25">
        <v>0</v>
      </c>
      <c r="K36" s="25">
        <v>1</v>
      </c>
      <c r="L36" s="25">
        <v>0</v>
      </c>
      <c r="M36" s="25">
        <v>0</v>
      </c>
      <c r="N36" s="25">
        <v>1</v>
      </c>
      <c r="O36" s="25">
        <v>1</v>
      </c>
      <c r="P36" s="25">
        <v>0</v>
      </c>
      <c r="Q36" s="202">
        <v>0</v>
      </c>
    </row>
    <row r="37" spans="1:17" s="2" customFormat="1" ht="24" customHeight="1" x14ac:dyDescent="0.25">
      <c r="A37" s="6"/>
      <c r="B37" s="186" t="s">
        <v>114</v>
      </c>
      <c r="C37" s="1108"/>
      <c r="D37" s="1109"/>
      <c r="E37" s="161">
        <f t="shared" si="3"/>
        <v>8</v>
      </c>
      <c r="F37" s="43">
        <v>0</v>
      </c>
      <c r="G37" s="229">
        <v>0</v>
      </c>
      <c r="H37" s="44">
        <v>0</v>
      </c>
      <c r="I37" s="44">
        <v>1</v>
      </c>
      <c r="J37" s="44">
        <v>4</v>
      </c>
      <c r="K37" s="44">
        <v>0</v>
      </c>
      <c r="L37" s="44">
        <v>1</v>
      </c>
      <c r="M37" s="44">
        <v>0</v>
      </c>
      <c r="N37" s="44">
        <v>0</v>
      </c>
      <c r="O37" s="44">
        <v>0</v>
      </c>
      <c r="P37" s="44">
        <v>0</v>
      </c>
      <c r="Q37" s="202">
        <v>2</v>
      </c>
    </row>
    <row r="38" spans="1:17" s="2" customFormat="1" ht="24" customHeight="1" x14ac:dyDescent="0.25">
      <c r="A38" s="6"/>
      <c r="B38" s="186" t="s">
        <v>115</v>
      </c>
      <c r="C38" s="1108"/>
      <c r="D38" s="1109"/>
      <c r="E38" s="161">
        <f t="shared" si="3"/>
        <v>22</v>
      </c>
      <c r="F38" s="43">
        <v>1</v>
      </c>
      <c r="G38" s="229">
        <v>2</v>
      </c>
      <c r="H38" s="44">
        <v>1</v>
      </c>
      <c r="I38" s="44">
        <v>1</v>
      </c>
      <c r="J38" s="44">
        <v>0</v>
      </c>
      <c r="K38" s="44">
        <v>2</v>
      </c>
      <c r="L38" s="44">
        <v>0</v>
      </c>
      <c r="M38" s="44">
        <v>9</v>
      </c>
      <c r="N38" s="44">
        <v>0</v>
      </c>
      <c r="O38" s="44">
        <v>4</v>
      </c>
      <c r="P38" s="44">
        <v>0</v>
      </c>
      <c r="Q38" s="202">
        <v>2</v>
      </c>
    </row>
    <row r="39" spans="1:17" s="2" customFormat="1" ht="24" customHeight="1" x14ac:dyDescent="0.25">
      <c r="A39" s="6"/>
      <c r="B39" s="186" t="s">
        <v>117</v>
      </c>
      <c r="C39" s="1108"/>
      <c r="D39" s="1109"/>
      <c r="E39" s="161">
        <f t="shared" si="3"/>
        <v>12</v>
      </c>
      <c r="F39" s="43">
        <v>0</v>
      </c>
      <c r="G39" s="229">
        <v>0</v>
      </c>
      <c r="H39" s="44">
        <v>0</v>
      </c>
      <c r="I39" s="44">
        <v>2</v>
      </c>
      <c r="J39" s="44">
        <v>2</v>
      </c>
      <c r="K39" s="44">
        <v>0</v>
      </c>
      <c r="L39" s="44">
        <v>1</v>
      </c>
      <c r="M39" s="44">
        <v>1</v>
      </c>
      <c r="N39" s="44">
        <v>1</v>
      </c>
      <c r="O39" s="44">
        <v>1</v>
      </c>
      <c r="P39" s="44">
        <v>1</v>
      </c>
      <c r="Q39" s="202">
        <v>3</v>
      </c>
    </row>
    <row r="40" spans="1:17" s="2" customFormat="1" ht="24" customHeight="1" x14ac:dyDescent="0.25">
      <c r="A40" s="6"/>
      <c r="B40" s="246" t="s">
        <v>116</v>
      </c>
      <c r="C40" s="1110"/>
      <c r="D40" s="1111"/>
      <c r="E40" s="165">
        <f t="shared" si="3"/>
        <v>0</v>
      </c>
      <c r="F40" s="66">
        <v>0</v>
      </c>
      <c r="G40" s="24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249">
        <v>0</v>
      </c>
    </row>
    <row r="41" spans="1:17" x14ac:dyDescent="0.3">
      <c r="A41" s="5"/>
      <c r="B41" s="1112" t="s">
        <v>120</v>
      </c>
      <c r="C41" s="1113"/>
      <c r="D41" s="1113"/>
      <c r="E41" s="1113"/>
      <c r="F41" s="1113"/>
      <c r="G41" s="1113"/>
      <c r="H41" s="1113"/>
      <c r="I41" s="1113"/>
      <c r="J41" s="1113"/>
      <c r="K41" s="1113"/>
      <c r="L41" s="1113"/>
      <c r="M41" s="1113"/>
      <c r="N41" s="1113"/>
      <c r="O41" s="1113"/>
      <c r="P41" s="1113"/>
      <c r="Q41" s="1114"/>
    </row>
    <row r="42" spans="1:17" s="2" customFormat="1" ht="24" customHeight="1" x14ac:dyDescent="0.25">
      <c r="A42" s="6"/>
      <c r="B42" s="21" t="s">
        <v>27</v>
      </c>
      <c r="C42" s="61">
        <v>7</v>
      </c>
      <c r="D42" s="62">
        <v>5</v>
      </c>
      <c r="E42" s="161">
        <f>SUM(F42:Q42)</f>
        <v>7</v>
      </c>
      <c r="F42" s="24">
        <v>0</v>
      </c>
      <c r="G42" s="229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4</v>
      </c>
      <c r="N42" s="253">
        <v>0</v>
      </c>
      <c r="O42" s="25">
        <v>2</v>
      </c>
      <c r="P42" s="25">
        <v>0</v>
      </c>
      <c r="Q42" s="202">
        <v>1</v>
      </c>
    </row>
    <row r="43" spans="1:17" s="2" customFormat="1" ht="24" customHeight="1" x14ac:dyDescent="0.25">
      <c r="A43" s="6"/>
      <c r="B43" s="46" t="s">
        <v>28</v>
      </c>
      <c r="C43" s="51">
        <v>33</v>
      </c>
      <c r="D43" s="52">
        <v>13</v>
      </c>
      <c r="E43" s="162">
        <f>SUM(F43:Q43)</f>
        <v>15</v>
      </c>
      <c r="F43" s="43">
        <v>1</v>
      </c>
      <c r="G43" s="229">
        <v>2</v>
      </c>
      <c r="H43" s="44">
        <v>1</v>
      </c>
      <c r="I43" s="44">
        <v>1</v>
      </c>
      <c r="J43" s="44">
        <v>0</v>
      </c>
      <c r="K43" s="44">
        <v>2</v>
      </c>
      <c r="L43" s="44">
        <v>0</v>
      </c>
      <c r="M43" s="44">
        <v>5</v>
      </c>
      <c r="N43" s="25">
        <v>0</v>
      </c>
      <c r="O43" s="44">
        <v>2</v>
      </c>
      <c r="P43" s="44">
        <v>0</v>
      </c>
      <c r="Q43" s="202">
        <v>1</v>
      </c>
    </row>
    <row r="44" spans="1:17" s="2" customFormat="1" ht="24" customHeight="1" x14ac:dyDescent="0.25">
      <c r="A44" s="6"/>
      <c r="B44" s="46" t="s">
        <v>34</v>
      </c>
      <c r="C44" s="53">
        <v>24</v>
      </c>
      <c r="D44" s="54">
        <v>36</v>
      </c>
      <c r="E44" s="164">
        <f>SUM(F44:Q44)</f>
        <v>24</v>
      </c>
      <c r="F44" s="43">
        <v>6</v>
      </c>
      <c r="G44" s="44">
        <v>5</v>
      </c>
      <c r="H44" s="44">
        <v>3</v>
      </c>
      <c r="I44" s="44">
        <v>0</v>
      </c>
      <c r="J44" s="44">
        <v>3</v>
      </c>
      <c r="K44" s="44">
        <v>0</v>
      </c>
      <c r="L44" s="44">
        <v>1</v>
      </c>
      <c r="M44" s="44">
        <v>0</v>
      </c>
      <c r="N44" s="44">
        <v>0</v>
      </c>
      <c r="O44" s="44">
        <v>6</v>
      </c>
      <c r="P44" s="44">
        <v>0</v>
      </c>
      <c r="Q44" s="202">
        <v>0</v>
      </c>
    </row>
    <row r="45" spans="1:17" s="2" customFormat="1" ht="24" hidden="1" customHeight="1" x14ac:dyDescent="0.25">
      <c r="A45" s="6"/>
      <c r="B45" s="46" t="s">
        <v>29</v>
      </c>
      <c r="C45" s="1104"/>
      <c r="D45" s="1105"/>
      <c r="E45" s="1115"/>
      <c r="F45" s="43">
        <v>28</v>
      </c>
      <c r="G45" s="44">
        <v>29</v>
      </c>
      <c r="H45" s="44">
        <v>30</v>
      </c>
      <c r="I45" s="354" t="s">
        <v>136</v>
      </c>
      <c r="J45" s="44">
        <v>36</v>
      </c>
      <c r="K45" s="44">
        <v>36</v>
      </c>
      <c r="L45" s="44">
        <v>38</v>
      </c>
      <c r="M45" s="44">
        <v>30</v>
      </c>
      <c r="N45" s="44">
        <v>30</v>
      </c>
      <c r="O45" s="44"/>
      <c r="P45" s="44"/>
      <c r="Q45" s="202"/>
    </row>
    <row r="46" spans="1:17" s="2" customFormat="1" ht="24" hidden="1" customHeight="1" x14ac:dyDescent="0.25">
      <c r="A46" s="6"/>
      <c r="B46" s="46" t="s">
        <v>30</v>
      </c>
      <c r="C46" s="1104"/>
      <c r="D46" s="1105"/>
      <c r="E46" s="1115"/>
      <c r="F46" s="195">
        <v>23</v>
      </c>
      <c r="G46" s="195">
        <v>29</v>
      </c>
      <c r="H46" s="195">
        <v>21</v>
      </c>
      <c r="I46" s="354" t="s">
        <v>136</v>
      </c>
      <c r="J46" s="354" t="s">
        <v>136</v>
      </c>
      <c r="K46" s="354" t="s">
        <v>136</v>
      </c>
      <c r="L46" s="354" t="s">
        <v>136</v>
      </c>
      <c r="M46" s="354" t="s">
        <v>136</v>
      </c>
      <c r="N46" s="195"/>
      <c r="O46" s="195"/>
      <c r="P46" s="44"/>
      <c r="Q46" s="202"/>
    </row>
    <row r="47" spans="1:17" s="2" customFormat="1" ht="24" hidden="1" customHeight="1" x14ac:dyDescent="0.25">
      <c r="A47" s="6"/>
      <c r="B47" s="46" t="s">
        <v>36</v>
      </c>
      <c r="C47" s="61">
        <v>52</v>
      </c>
      <c r="D47" s="62">
        <v>70</v>
      </c>
      <c r="E47" s="161">
        <f>SUM(F47:Q47)</f>
        <v>12</v>
      </c>
      <c r="F47" s="43">
        <v>6</v>
      </c>
      <c r="G47" s="44">
        <v>6</v>
      </c>
      <c r="H47" s="354" t="s">
        <v>136</v>
      </c>
      <c r="I47" s="354" t="s">
        <v>136</v>
      </c>
      <c r="J47" s="354" t="s">
        <v>136</v>
      </c>
      <c r="K47" s="354" t="s">
        <v>136</v>
      </c>
      <c r="L47" s="354" t="s">
        <v>136</v>
      </c>
      <c r="M47" s="44">
        <v>0</v>
      </c>
      <c r="N47" s="44">
        <v>0</v>
      </c>
      <c r="O47" s="44"/>
      <c r="P47" s="44"/>
      <c r="Q47" s="45"/>
    </row>
    <row r="48" spans="1:17" s="2" customFormat="1" ht="24" hidden="1" customHeight="1" x14ac:dyDescent="0.25">
      <c r="A48" s="6"/>
      <c r="B48" s="27" t="s">
        <v>35</v>
      </c>
      <c r="C48" s="53">
        <v>269</v>
      </c>
      <c r="D48" s="54">
        <v>300</v>
      </c>
      <c r="E48" s="164">
        <f>SUM(F48:Q48)</f>
        <v>250</v>
      </c>
      <c r="F48" s="30">
        <v>33</v>
      </c>
      <c r="G48" s="31">
        <v>22</v>
      </c>
      <c r="H48" s="195">
        <v>17</v>
      </c>
      <c r="I48" s="195">
        <v>23</v>
      </c>
      <c r="J48" s="195">
        <v>23</v>
      </c>
      <c r="K48" s="195">
        <v>32</v>
      </c>
      <c r="L48" s="31">
        <v>30</v>
      </c>
      <c r="M48" s="31">
        <v>34</v>
      </c>
      <c r="N48" s="31">
        <v>36</v>
      </c>
      <c r="O48" s="31"/>
      <c r="P48" s="31"/>
      <c r="Q48" s="32"/>
    </row>
    <row r="49" spans="1:17" x14ac:dyDescent="0.3">
      <c r="A49" s="5"/>
      <c r="B49" s="1093" t="s">
        <v>31</v>
      </c>
      <c r="C49" s="1094"/>
      <c r="D49" s="1094"/>
      <c r="E49" s="1094"/>
      <c r="F49" s="1094"/>
      <c r="G49" s="1094"/>
      <c r="H49" s="1094"/>
      <c r="I49" s="1094"/>
      <c r="J49" s="1094"/>
      <c r="K49" s="1094"/>
      <c r="L49" s="1094"/>
      <c r="M49" s="1094"/>
      <c r="N49" s="1094"/>
      <c r="O49" s="1094"/>
      <c r="P49" s="1094"/>
      <c r="Q49" s="1095"/>
    </row>
    <row r="50" spans="1:17" s="2" customFormat="1" ht="24" customHeight="1" x14ac:dyDescent="0.25">
      <c r="A50" s="6"/>
      <c r="B50" s="21" t="s">
        <v>38</v>
      </c>
      <c r="C50" s="1127"/>
      <c r="D50" s="1128"/>
      <c r="E50" s="166">
        <v>55</v>
      </c>
      <c r="F50" s="24">
        <v>50</v>
      </c>
      <c r="G50" s="25">
        <v>53</v>
      </c>
      <c r="H50" s="25">
        <v>46</v>
      </c>
      <c r="I50" s="25">
        <v>46</v>
      </c>
      <c r="J50" s="25">
        <v>47</v>
      </c>
      <c r="K50" s="25">
        <v>47</v>
      </c>
      <c r="L50" s="25">
        <v>49</v>
      </c>
      <c r="M50" s="25">
        <v>51</v>
      </c>
      <c r="N50" s="25">
        <v>55</v>
      </c>
      <c r="O50" s="25">
        <v>55</v>
      </c>
      <c r="P50" s="25">
        <v>55</v>
      </c>
      <c r="Q50" s="26">
        <v>55</v>
      </c>
    </row>
    <row r="51" spans="1:17" s="2" customFormat="1" ht="24" customHeight="1" x14ac:dyDescent="0.25">
      <c r="A51" s="6"/>
      <c r="B51" s="185" t="s">
        <v>140</v>
      </c>
      <c r="C51" s="279" t="s">
        <v>136</v>
      </c>
      <c r="D51" s="62">
        <v>13</v>
      </c>
      <c r="E51" s="69"/>
      <c r="F51" s="43">
        <v>1</v>
      </c>
      <c r="G51" s="44">
        <v>4</v>
      </c>
      <c r="H51" s="44">
        <v>0</v>
      </c>
      <c r="I51" s="44">
        <v>0</v>
      </c>
      <c r="J51" s="44">
        <v>1</v>
      </c>
      <c r="K51" s="44">
        <v>0</v>
      </c>
      <c r="L51" s="44">
        <v>2</v>
      </c>
      <c r="M51" s="44">
        <v>2</v>
      </c>
      <c r="N51" s="44">
        <v>2</v>
      </c>
      <c r="O51" s="44">
        <v>1</v>
      </c>
      <c r="P51" s="44">
        <v>1</v>
      </c>
      <c r="Q51" s="45">
        <v>0</v>
      </c>
    </row>
    <row r="52" spans="1:17" s="2" customFormat="1" ht="24" customHeight="1" x14ac:dyDescent="0.25">
      <c r="A52" s="6"/>
      <c r="B52" s="185" t="s">
        <v>141</v>
      </c>
      <c r="C52" s="1154"/>
      <c r="D52" s="1155"/>
      <c r="E52" s="69"/>
      <c r="F52" s="43">
        <v>-1</v>
      </c>
      <c r="G52" s="44">
        <v>-1</v>
      </c>
      <c r="H52" s="44">
        <v>-1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5">
        <v>0</v>
      </c>
    </row>
    <row r="53" spans="1:17" s="2" customFormat="1" ht="24" customHeight="1" x14ac:dyDescent="0.25">
      <c r="A53" s="6"/>
      <c r="B53" s="70" t="s">
        <v>149</v>
      </c>
      <c r="C53" s="1119"/>
      <c r="D53" s="1120"/>
      <c r="E53" s="290"/>
      <c r="F53" s="195">
        <v>5</v>
      </c>
      <c r="G53" s="195">
        <v>4</v>
      </c>
      <c r="H53" s="195">
        <v>5</v>
      </c>
      <c r="I53" s="195">
        <v>5</v>
      </c>
      <c r="J53" s="195">
        <v>5</v>
      </c>
      <c r="K53" s="195">
        <v>5</v>
      </c>
      <c r="L53" s="195">
        <v>7</v>
      </c>
      <c r="M53" s="195">
        <v>7</v>
      </c>
      <c r="N53" s="195">
        <v>4</v>
      </c>
      <c r="O53" s="195">
        <v>5</v>
      </c>
      <c r="P53" s="195">
        <v>0</v>
      </c>
      <c r="Q53" s="202">
        <v>3</v>
      </c>
    </row>
    <row r="54" spans="1:17" s="2" customFormat="1" ht="24" customHeight="1" x14ac:dyDescent="0.25">
      <c r="A54" s="6"/>
      <c r="B54" s="71" t="s">
        <v>37</v>
      </c>
      <c r="C54" s="291">
        <v>34</v>
      </c>
      <c r="D54" s="292">
        <v>0</v>
      </c>
      <c r="E54" s="166">
        <f>SUM(F54:Q54)</f>
        <v>0</v>
      </c>
      <c r="F54" s="30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2">
        <v>0</v>
      </c>
    </row>
    <row r="55" spans="1:17" x14ac:dyDescent="0.3">
      <c r="A55" s="5"/>
      <c r="B55" s="1116" t="s">
        <v>39</v>
      </c>
      <c r="C55" s="1117"/>
      <c r="D55" s="1117"/>
      <c r="E55" s="1117"/>
      <c r="F55" s="1117"/>
      <c r="G55" s="1117"/>
      <c r="H55" s="1117"/>
      <c r="I55" s="1117"/>
      <c r="J55" s="1117"/>
      <c r="K55" s="1117"/>
      <c r="L55" s="1117"/>
      <c r="M55" s="1117"/>
      <c r="N55" s="1117"/>
      <c r="O55" s="1117"/>
      <c r="P55" s="1117"/>
      <c r="Q55" s="1118"/>
    </row>
    <row r="56" spans="1:17" s="2" customFormat="1" ht="24" customHeight="1" x14ac:dyDescent="0.25">
      <c r="A56" s="6"/>
      <c r="B56" s="72" t="s">
        <v>67</v>
      </c>
      <c r="C56" s="73">
        <v>202</v>
      </c>
      <c r="D56" s="40">
        <v>177</v>
      </c>
      <c r="E56" s="159">
        <f t="shared" ref="E56:E61" si="4">SUM(F56:Q56)</f>
        <v>195</v>
      </c>
      <c r="F56" s="74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192</v>
      </c>
      <c r="Q56" s="76">
        <f>195-192</f>
        <v>3</v>
      </c>
    </row>
    <row r="57" spans="1:17" s="2" customFormat="1" ht="24" customHeight="1" x14ac:dyDescent="0.25">
      <c r="A57" s="6"/>
      <c r="B57" s="185" t="s">
        <v>68</v>
      </c>
      <c r="C57" s="77">
        <v>176</v>
      </c>
      <c r="D57" s="42">
        <v>177</v>
      </c>
      <c r="E57" s="163">
        <f t="shared" si="4"/>
        <v>174</v>
      </c>
      <c r="F57" s="78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170</v>
      </c>
      <c r="Q57" s="80">
        <f>174-170</f>
        <v>4</v>
      </c>
    </row>
    <row r="58" spans="1:17" s="2" customFormat="1" ht="24" customHeight="1" x14ac:dyDescent="0.25">
      <c r="A58" s="6"/>
      <c r="B58" s="70" t="s">
        <v>42</v>
      </c>
      <c r="C58" s="77">
        <v>701</v>
      </c>
      <c r="D58" s="42">
        <v>808</v>
      </c>
      <c r="E58" s="163">
        <f t="shared" si="4"/>
        <v>749</v>
      </c>
      <c r="F58" s="78">
        <v>0</v>
      </c>
      <c r="G58" s="79">
        <v>0</v>
      </c>
      <c r="H58" s="79">
        <v>467</v>
      </c>
      <c r="I58" s="79">
        <f>703-467</f>
        <v>236</v>
      </c>
      <c r="J58" s="79">
        <f>749-467-236</f>
        <v>46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80">
        <v>0</v>
      </c>
    </row>
    <row r="59" spans="1:17" s="2" customFormat="1" ht="24" customHeight="1" x14ac:dyDescent="0.25">
      <c r="A59" s="6"/>
      <c r="B59" s="185" t="s">
        <v>156</v>
      </c>
      <c r="C59" s="77">
        <v>648</v>
      </c>
      <c r="D59" s="42">
        <v>623</v>
      </c>
      <c r="E59" s="163">
        <f t="shared" si="4"/>
        <v>679</v>
      </c>
      <c r="F59" s="78">
        <v>0</v>
      </c>
      <c r="G59" s="79">
        <v>0</v>
      </c>
      <c r="H59" s="79">
        <v>89</v>
      </c>
      <c r="I59" s="79">
        <f>438-89</f>
        <v>349</v>
      </c>
      <c r="J59" s="79">
        <f>679-89-349</f>
        <v>241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80">
        <v>0</v>
      </c>
    </row>
    <row r="60" spans="1:17" s="2" customFormat="1" ht="24" customHeight="1" x14ac:dyDescent="0.25">
      <c r="A60" s="6"/>
      <c r="B60" s="70" t="s">
        <v>41</v>
      </c>
      <c r="C60" s="77">
        <v>1228</v>
      </c>
      <c r="D60" s="42">
        <v>1145</v>
      </c>
      <c r="E60" s="163">
        <f t="shared" si="4"/>
        <v>1265</v>
      </c>
      <c r="F60" s="78">
        <v>0</v>
      </c>
      <c r="G60" s="79">
        <v>0</v>
      </c>
      <c r="H60" s="79">
        <v>609</v>
      </c>
      <c r="I60" s="79">
        <f>951-609</f>
        <v>342</v>
      </c>
      <c r="J60" s="79">
        <f>1265-609-342</f>
        <v>314</v>
      </c>
      <c r="K60" s="79">
        <v>0</v>
      </c>
      <c r="L60" s="79">
        <v>0</v>
      </c>
      <c r="M60" s="79">
        <v>0</v>
      </c>
      <c r="N60" s="79">
        <v>0</v>
      </c>
      <c r="O60" s="79">
        <v>0</v>
      </c>
      <c r="P60" s="79">
        <v>0</v>
      </c>
      <c r="Q60" s="80">
        <v>0</v>
      </c>
    </row>
    <row r="61" spans="1:17" s="2" customFormat="1" ht="24" customHeight="1" x14ac:dyDescent="0.25">
      <c r="A61" s="6"/>
      <c r="B61" s="189" t="s">
        <v>157</v>
      </c>
      <c r="C61" s="119">
        <v>1108</v>
      </c>
      <c r="D61" s="355">
        <v>1145</v>
      </c>
      <c r="E61" s="356">
        <f t="shared" si="4"/>
        <v>1166</v>
      </c>
      <c r="F61" s="357">
        <v>0</v>
      </c>
      <c r="G61" s="122">
        <v>0</v>
      </c>
      <c r="H61" s="122">
        <v>381</v>
      </c>
      <c r="I61" s="122">
        <f>624-381</f>
        <v>243</v>
      </c>
      <c r="J61" s="122">
        <f>1166-381-243</f>
        <v>542</v>
      </c>
      <c r="K61" s="122">
        <v>0</v>
      </c>
      <c r="L61" s="122">
        <v>0</v>
      </c>
      <c r="M61" s="122">
        <v>0</v>
      </c>
      <c r="N61" s="122">
        <v>0</v>
      </c>
      <c r="O61" s="122">
        <v>0</v>
      </c>
      <c r="P61" s="122">
        <v>0</v>
      </c>
      <c r="Q61" s="123">
        <v>0</v>
      </c>
    </row>
    <row r="62" spans="1:17" x14ac:dyDescent="0.3">
      <c r="A62" s="5"/>
      <c r="B62" s="1124" t="s">
        <v>43</v>
      </c>
      <c r="C62" s="1125"/>
      <c r="D62" s="1125"/>
      <c r="E62" s="1125"/>
      <c r="F62" s="1125"/>
      <c r="G62" s="1125"/>
      <c r="H62" s="1125"/>
      <c r="I62" s="1125"/>
      <c r="J62" s="1125"/>
      <c r="K62" s="1125"/>
      <c r="L62" s="1125"/>
      <c r="M62" s="1125"/>
      <c r="N62" s="1125"/>
      <c r="O62" s="1125"/>
      <c r="P62" s="1125"/>
      <c r="Q62" s="1126"/>
    </row>
    <row r="63" spans="1:17" x14ac:dyDescent="0.3">
      <c r="A63" s="5"/>
      <c r="B63" s="1116" t="s">
        <v>44</v>
      </c>
      <c r="C63" s="1117"/>
      <c r="D63" s="1117"/>
      <c r="E63" s="1117"/>
      <c r="F63" s="1117"/>
      <c r="G63" s="1117"/>
      <c r="H63" s="1117"/>
      <c r="I63" s="1117"/>
      <c r="J63" s="1117"/>
      <c r="K63" s="1117"/>
      <c r="L63" s="1117"/>
      <c r="M63" s="1117"/>
      <c r="N63" s="1117"/>
      <c r="O63" s="1117"/>
      <c r="P63" s="1117"/>
      <c r="Q63" s="1118"/>
    </row>
    <row r="64" spans="1:17" s="2" customFormat="1" ht="24" customHeight="1" x14ac:dyDescent="0.25">
      <c r="A64" s="6"/>
      <c r="B64" s="72" t="s">
        <v>45</v>
      </c>
      <c r="C64" s="291">
        <v>253</v>
      </c>
      <c r="D64" s="292">
        <v>243</v>
      </c>
      <c r="E64" s="161">
        <f>SUM(F64:Q64)</f>
        <v>372</v>
      </c>
      <c r="F64" s="24">
        <v>23</v>
      </c>
      <c r="G64" s="25">
        <v>28</v>
      </c>
      <c r="H64" s="25">
        <v>20</v>
      </c>
      <c r="I64" s="25">
        <v>26</v>
      </c>
      <c r="J64" s="25">
        <v>38</v>
      </c>
      <c r="K64" s="25">
        <v>39</v>
      </c>
      <c r="L64" s="25">
        <v>32</v>
      </c>
      <c r="M64" s="25">
        <v>33</v>
      </c>
      <c r="N64" s="25">
        <v>23</v>
      </c>
      <c r="O64" s="25">
        <v>38</v>
      </c>
      <c r="P64" s="25">
        <v>36</v>
      </c>
      <c r="Q64" s="26">
        <v>36</v>
      </c>
    </row>
    <row r="65" spans="1:17" s="2" customFormat="1" ht="24" customHeight="1" x14ac:dyDescent="0.25">
      <c r="A65" s="6"/>
      <c r="B65" s="70" t="s">
        <v>49</v>
      </c>
      <c r="C65" s="1119"/>
      <c r="D65" s="1120"/>
      <c r="E65" s="162">
        <f>SUM(F65:Q65)</f>
        <v>21</v>
      </c>
      <c r="F65" s="43">
        <v>2</v>
      </c>
      <c r="G65" s="44">
        <v>0</v>
      </c>
      <c r="H65" s="44">
        <v>3</v>
      </c>
      <c r="I65" s="44">
        <v>2</v>
      </c>
      <c r="J65" s="44">
        <v>1</v>
      </c>
      <c r="K65" s="44">
        <v>1</v>
      </c>
      <c r="L65" s="44">
        <v>0</v>
      </c>
      <c r="M65" s="44">
        <v>0</v>
      </c>
      <c r="N65" s="44">
        <v>3</v>
      </c>
      <c r="O65" s="44">
        <v>2</v>
      </c>
      <c r="P65" s="44">
        <v>2</v>
      </c>
      <c r="Q65" s="45">
        <v>5</v>
      </c>
    </row>
    <row r="66" spans="1:17" s="2" customFormat="1" ht="24" customHeight="1" x14ac:dyDescent="0.25">
      <c r="A66" s="6"/>
      <c r="B66" s="70" t="s">
        <v>46</v>
      </c>
      <c r="C66" s="1119"/>
      <c r="D66" s="1120"/>
      <c r="E66" s="164">
        <v>27</v>
      </c>
      <c r="F66" s="347" t="s">
        <v>136</v>
      </c>
      <c r="G66" s="347" t="s">
        <v>136</v>
      </c>
      <c r="H66" s="195">
        <v>21</v>
      </c>
      <c r="I66" s="195">
        <v>23</v>
      </c>
      <c r="J66" s="195">
        <v>24</v>
      </c>
      <c r="K66" s="195">
        <v>20</v>
      </c>
      <c r="L66" s="44">
        <v>21</v>
      </c>
      <c r="M66" s="237">
        <v>31</v>
      </c>
      <c r="N66" s="79">
        <v>32</v>
      </c>
      <c r="O66" s="79">
        <v>44</v>
      </c>
      <c r="P66" s="79">
        <v>70</v>
      </c>
      <c r="Q66" s="80">
        <v>27</v>
      </c>
    </row>
    <row r="67" spans="1:17" s="2" customFormat="1" ht="24" customHeight="1" x14ac:dyDescent="0.25">
      <c r="A67" s="6"/>
      <c r="B67" s="185" t="s">
        <v>47</v>
      </c>
      <c r="C67" s="1119"/>
      <c r="D67" s="1120"/>
      <c r="E67" s="69"/>
      <c r="F67" s="195">
        <v>23</v>
      </c>
      <c r="G67" s="347" t="s">
        <v>136</v>
      </c>
      <c r="H67" s="195">
        <v>20</v>
      </c>
      <c r="I67" s="195">
        <v>26</v>
      </c>
      <c r="J67" s="195">
        <v>20</v>
      </c>
      <c r="K67" s="195">
        <v>20</v>
      </c>
      <c r="L67" s="240">
        <v>17</v>
      </c>
      <c r="M67" s="240">
        <v>33</v>
      </c>
      <c r="N67" s="79">
        <v>23</v>
      </c>
      <c r="O67" s="79">
        <v>19</v>
      </c>
      <c r="P67" s="79">
        <v>36</v>
      </c>
      <c r="Q67" s="202">
        <v>13</v>
      </c>
    </row>
    <row r="68" spans="1:17" s="2" customFormat="1" ht="24" customHeight="1" x14ac:dyDescent="0.25">
      <c r="A68" s="6"/>
      <c r="B68" s="188" t="s">
        <v>48</v>
      </c>
      <c r="C68" s="1119"/>
      <c r="D68" s="1120"/>
      <c r="E68" s="69"/>
      <c r="F68" s="195">
        <v>2</v>
      </c>
      <c r="G68" s="347" t="s">
        <v>136</v>
      </c>
      <c r="H68" s="195">
        <v>-26</v>
      </c>
      <c r="I68" s="195">
        <v>19</v>
      </c>
      <c r="J68" s="195">
        <v>16</v>
      </c>
      <c r="K68" s="195">
        <v>19</v>
      </c>
      <c r="L68" s="240">
        <v>12</v>
      </c>
      <c r="M68" s="240">
        <v>17</v>
      </c>
      <c r="N68" s="240">
        <v>19</v>
      </c>
      <c r="O68" s="37">
        <v>17</v>
      </c>
      <c r="P68" s="240">
        <v>19</v>
      </c>
      <c r="Q68" s="243">
        <v>38</v>
      </c>
    </row>
    <row r="69" spans="1:17" x14ac:dyDescent="0.3">
      <c r="A69" s="5"/>
      <c r="B69" s="1116" t="s">
        <v>50</v>
      </c>
      <c r="C69" s="1117"/>
      <c r="D69" s="1117"/>
      <c r="E69" s="1117"/>
      <c r="F69" s="1117"/>
      <c r="G69" s="1117"/>
      <c r="H69" s="1117"/>
      <c r="I69" s="1117"/>
      <c r="J69" s="1117"/>
      <c r="K69" s="1117"/>
      <c r="L69" s="1117"/>
      <c r="M69" s="1117"/>
      <c r="N69" s="1117"/>
      <c r="O69" s="1117"/>
      <c r="P69" s="1117"/>
      <c r="Q69" s="1118"/>
    </row>
    <row r="70" spans="1:17" s="2" customFormat="1" ht="24" customHeight="1" x14ac:dyDescent="0.25">
      <c r="A70" s="6"/>
      <c r="B70" s="72" t="s">
        <v>51</v>
      </c>
      <c r="C70" s="1119"/>
      <c r="D70" s="1120"/>
      <c r="E70" s="166">
        <v>79</v>
      </c>
      <c r="F70" s="24">
        <v>84</v>
      </c>
      <c r="G70" s="222">
        <v>73</v>
      </c>
      <c r="H70" s="222">
        <v>74</v>
      </c>
      <c r="I70" s="222">
        <v>77</v>
      </c>
      <c r="J70" s="222">
        <v>78</v>
      </c>
      <c r="K70" s="222">
        <v>77</v>
      </c>
      <c r="L70" s="222">
        <v>75</v>
      </c>
      <c r="M70" s="222">
        <v>77</v>
      </c>
      <c r="N70" s="222">
        <v>76</v>
      </c>
      <c r="O70" s="222">
        <v>79</v>
      </c>
      <c r="P70" s="222">
        <v>77</v>
      </c>
      <c r="Q70" s="267">
        <v>79</v>
      </c>
    </row>
    <row r="71" spans="1:17" s="2" customFormat="1" ht="24" customHeight="1" x14ac:dyDescent="0.25">
      <c r="A71" s="6"/>
      <c r="B71" s="185" t="s">
        <v>32</v>
      </c>
      <c r="C71" s="1119"/>
      <c r="D71" s="1120"/>
      <c r="E71" s="69"/>
      <c r="F71" s="43">
        <v>2</v>
      </c>
      <c r="G71" s="254" t="s">
        <v>136</v>
      </c>
      <c r="H71" s="44">
        <v>3</v>
      </c>
      <c r="I71" s="44">
        <v>3</v>
      </c>
      <c r="J71" s="44">
        <v>1</v>
      </c>
      <c r="K71" s="44">
        <v>1</v>
      </c>
      <c r="L71" s="44">
        <v>0</v>
      </c>
      <c r="M71" s="256">
        <v>2</v>
      </c>
      <c r="N71" s="44">
        <v>0</v>
      </c>
      <c r="O71" s="256">
        <v>3</v>
      </c>
      <c r="P71" s="256">
        <v>1</v>
      </c>
      <c r="Q71" s="202">
        <v>2</v>
      </c>
    </row>
    <row r="72" spans="1:17" s="2" customFormat="1" ht="24" customHeight="1" x14ac:dyDescent="0.25">
      <c r="A72" s="6"/>
      <c r="B72" s="248" t="s">
        <v>33</v>
      </c>
      <c r="C72" s="1127"/>
      <c r="D72" s="1128"/>
      <c r="E72" s="83"/>
      <c r="F72" s="66">
        <v>-1</v>
      </c>
      <c r="G72" s="346" t="s">
        <v>136</v>
      </c>
      <c r="H72" s="67">
        <v>-2</v>
      </c>
      <c r="I72" s="67">
        <v>-2</v>
      </c>
      <c r="J72" s="67">
        <v>0</v>
      </c>
      <c r="K72" s="67">
        <v>2</v>
      </c>
      <c r="L72" s="67">
        <v>2</v>
      </c>
      <c r="M72" s="286">
        <v>0</v>
      </c>
      <c r="N72" s="67">
        <v>-1</v>
      </c>
      <c r="O72" s="286">
        <v>0</v>
      </c>
      <c r="P72" s="286">
        <v>-3</v>
      </c>
      <c r="Q72" s="249">
        <v>0</v>
      </c>
    </row>
    <row r="73" spans="1:17" x14ac:dyDescent="0.3">
      <c r="A73" s="5"/>
      <c r="B73" s="1112" t="s">
        <v>52</v>
      </c>
      <c r="C73" s="1113"/>
      <c r="D73" s="1113"/>
      <c r="E73" s="1113"/>
      <c r="F73" s="1113"/>
      <c r="G73" s="1113"/>
      <c r="H73" s="1113"/>
      <c r="I73" s="1113"/>
      <c r="J73" s="1113"/>
      <c r="K73" s="1113"/>
      <c r="L73" s="1113"/>
      <c r="M73" s="1113"/>
      <c r="N73" s="1113"/>
      <c r="O73" s="1113"/>
      <c r="P73" s="1113"/>
      <c r="Q73" s="1114"/>
    </row>
    <row r="74" spans="1:17" s="2" customFormat="1" ht="24" customHeight="1" x14ac:dyDescent="0.25">
      <c r="A74" s="6"/>
      <c r="B74" s="72" t="s">
        <v>161</v>
      </c>
      <c r="C74" s="264"/>
      <c r="D74" s="265"/>
      <c r="E74" s="166">
        <v>339</v>
      </c>
      <c r="F74" s="24">
        <v>449</v>
      </c>
      <c r="G74" s="222">
        <v>424</v>
      </c>
      <c r="H74" s="222">
        <f>137+240</f>
        <v>377</v>
      </c>
      <c r="I74" s="222">
        <f>136+239</f>
        <v>375</v>
      </c>
      <c r="J74" s="222">
        <f>233+134</f>
        <v>367</v>
      </c>
      <c r="K74" s="222">
        <f>224+129</f>
        <v>353</v>
      </c>
      <c r="L74" s="222">
        <f>129+224</f>
        <v>353</v>
      </c>
      <c r="M74" s="222">
        <f>223+130</f>
        <v>353</v>
      </c>
      <c r="N74" s="222">
        <f>223+134</f>
        <v>357</v>
      </c>
      <c r="O74" s="222">
        <f>207+137</f>
        <v>344</v>
      </c>
      <c r="P74" s="222">
        <f>136+207</f>
        <v>343</v>
      </c>
      <c r="Q74" s="267">
        <f>141+198</f>
        <v>339</v>
      </c>
    </row>
    <row r="75" spans="1:17" s="2" customFormat="1" ht="24" hidden="1" customHeight="1" x14ac:dyDescent="0.25">
      <c r="A75" s="6"/>
      <c r="B75" s="185" t="s">
        <v>32</v>
      </c>
      <c r="C75" s="264"/>
      <c r="D75" s="265"/>
      <c r="E75" s="69"/>
      <c r="F75" s="43">
        <v>2</v>
      </c>
      <c r="G75" s="254" t="s">
        <v>136</v>
      </c>
      <c r="H75" s="256"/>
      <c r="I75" s="44"/>
      <c r="J75" s="44"/>
      <c r="K75" s="44"/>
      <c r="L75" s="44"/>
      <c r="M75" s="44"/>
      <c r="N75" s="256"/>
      <c r="O75" s="44"/>
      <c r="P75" s="256"/>
      <c r="Q75" s="202"/>
    </row>
    <row r="76" spans="1:17" s="2" customFormat="1" ht="24" hidden="1" customHeight="1" x14ac:dyDescent="0.25">
      <c r="A76" s="6"/>
      <c r="B76" s="185" t="s">
        <v>33</v>
      </c>
      <c r="C76" s="264"/>
      <c r="D76" s="265"/>
      <c r="E76" s="69"/>
      <c r="F76" s="43">
        <v>-1</v>
      </c>
      <c r="G76" s="254" t="s">
        <v>136</v>
      </c>
      <c r="H76" s="256"/>
      <c r="I76" s="44"/>
      <c r="J76" s="44"/>
      <c r="K76" s="44"/>
      <c r="L76" s="44"/>
      <c r="M76" s="44"/>
      <c r="N76" s="256"/>
      <c r="O76" s="44"/>
      <c r="P76" s="256"/>
      <c r="Q76" s="202"/>
    </row>
    <row r="77" spans="1:17" s="2" customFormat="1" ht="24" customHeight="1" x14ac:dyDescent="0.25">
      <c r="A77" s="6"/>
      <c r="B77" s="70" t="s">
        <v>158</v>
      </c>
      <c r="C77" s="264"/>
      <c r="D77" s="265"/>
      <c r="E77" s="69"/>
      <c r="F77" s="78">
        <f>134401/14.16</f>
        <v>9491.5960451977408</v>
      </c>
      <c r="G77" s="79">
        <f>127613.46/14.16</f>
        <v>9012.25</v>
      </c>
      <c r="H77" s="218">
        <f>146500.49/14.16</f>
        <v>10346.079802259886</v>
      </c>
      <c r="I77" s="79">
        <f>152003.77/14.16</f>
        <v>10734.729519774011</v>
      </c>
      <c r="J77" s="237">
        <f>140150.02/14.16</f>
        <v>9897.6002824858751</v>
      </c>
      <c r="K77" s="79">
        <f>152510.13/14.16</f>
        <v>10770.489406779661</v>
      </c>
      <c r="L77" s="79">
        <f>133511.1/14.16</f>
        <v>9428.75</v>
      </c>
      <c r="M77" s="79">
        <f>135624.48/14.16</f>
        <v>9578</v>
      </c>
      <c r="N77" s="218">
        <f>142516.86/14.16</f>
        <v>10064.749999999998</v>
      </c>
      <c r="O77" s="79">
        <f>130933.97/14.16</f>
        <v>9246.7492937853112</v>
      </c>
      <c r="P77" s="218">
        <f>127166.57/14.16</f>
        <v>8980.6899717514134</v>
      </c>
      <c r="Q77" s="80">
        <f>120252.66/14.16</f>
        <v>8492.4194915254247</v>
      </c>
    </row>
    <row r="78" spans="1:17" s="2" customFormat="1" ht="24" customHeight="1" x14ac:dyDescent="0.25">
      <c r="A78" s="6"/>
      <c r="B78" s="70" t="s">
        <v>190</v>
      </c>
      <c r="C78" s="264"/>
      <c r="D78" s="265"/>
      <c r="E78" s="166">
        <v>141</v>
      </c>
      <c r="F78" s="43">
        <v>142</v>
      </c>
      <c r="G78" s="44">
        <v>139</v>
      </c>
      <c r="H78" s="256">
        <v>137</v>
      </c>
      <c r="I78" s="44">
        <v>136</v>
      </c>
      <c r="J78" s="44">
        <v>134</v>
      </c>
      <c r="K78" s="44">
        <v>129</v>
      </c>
      <c r="L78" s="44">
        <v>129</v>
      </c>
      <c r="M78" s="44">
        <v>130</v>
      </c>
      <c r="N78" s="256">
        <v>134</v>
      </c>
      <c r="O78" s="44">
        <v>137</v>
      </c>
      <c r="P78" s="256">
        <v>136</v>
      </c>
      <c r="Q78" s="45">
        <v>141</v>
      </c>
    </row>
    <row r="79" spans="1:17" s="2" customFormat="1" ht="24" customHeight="1" x14ac:dyDescent="0.25">
      <c r="A79" s="6"/>
      <c r="B79" s="185" t="s">
        <v>32</v>
      </c>
      <c r="C79" s="264"/>
      <c r="D79" s="265"/>
      <c r="E79" s="69"/>
      <c r="F79" s="43">
        <v>0</v>
      </c>
      <c r="G79" s="44">
        <v>0</v>
      </c>
      <c r="H79" s="256">
        <v>0</v>
      </c>
      <c r="I79" s="44">
        <v>0</v>
      </c>
      <c r="J79" s="44">
        <v>0</v>
      </c>
      <c r="K79" s="44">
        <v>0</v>
      </c>
      <c r="L79" s="44">
        <v>2</v>
      </c>
      <c r="M79" s="44">
        <v>1</v>
      </c>
      <c r="N79" s="256">
        <v>5</v>
      </c>
      <c r="O79" s="44">
        <v>5</v>
      </c>
      <c r="P79" s="256">
        <v>1</v>
      </c>
      <c r="Q79" s="202">
        <v>7</v>
      </c>
    </row>
    <row r="80" spans="1:17" s="2" customFormat="1" ht="24" customHeight="1" x14ac:dyDescent="0.25">
      <c r="A80" s="6"/>
      <c r="B80" s="188" t="s">
        <v>33</v>
      </c>
      <c r="C80" s="264"/>
      <c r="D80" s="265"/>
      <c r="E80" s="69"/>
      <c r="F80" s="30">
        <v>0</v>
      </c>
      <c r="G80" s="31">
        <v>-3</v>
      </c>
      <c r="H80" s="234">
        <v>-2</v>
      </c>
      <c r="I80" s="31">
        <v>-1</v>
      </c>
      <c r="J80" s="31">
        <v>-2</v>
      </c>
      <c r="K80" s="31">
        <v>-5</v>
      </c>
      <c r="L80" s="31">
        <v>-2</v>
      </c>
      <c r="M80" s="31">
        <v>0</v>
      </c>
      <c r="N80" s="234">
        <v>-1</v>
      </c>
      <c r="O80" s="31">
        <v>-3</v>
      </c>
      <c r="P80" s="234">
        <v>-2</v>
      </c>
      <c r="Q80" s="243">
        <v>-2</v>
      </c>
    </row>
    <row r="81" spans="1:17" s="2" customFormat="1" ht="24" customHeight="1" x14ac:dyDescent="0.25">
      <c r="A81" s="6"/>
      <c r="B81" s="70" t="s">
        <v>58</v>
      </c>
      <c r="C81" s="264"/>
      <c r="D81" s="265"/>
      <c r="E81" s="166">
        <v>133</v>
      </c>
      <c r="F81" s="43">
        <v>124</v>
      </c>
      <c r="G81" s="44">
        <v>123</v>
      </c>
      <c r="H81" s="256">
        <v>119</v>
      </c>
      <c r="I81" s="44">
        <v>123</v>
      </c>
      <c r="J81" s="44">
        <v>124</v>
      </c>
      <c r="K81" s="44">
        <v>130</v>
      </c>
      <c r="L81" s="44">
        <v>129</v>
      </c>
      <c r="M81" s="44">
        <v>129</v>
      </c>
      <c r="N81" s="256">
        <v>130</v>
      </c>
      <c r="O81" s="44">
        <v>133</v>
      </c>
      <c r="P81" s="256">
        <v>135</v>
      </c>
      <c r="Q81" s="45">
        <v>133</v>
      </c>
    </row>
    <row r="82" spans="1:17" s="2" customFormat="1" ht="24" hidden="1" customHeight="1" x14ac:dyDescent="0.25">
      <c r="A82" s="6"/>
      <c r="B82" s="185" t="s">
        <v>32</v>
      </c>
      <c r="C82" s="264"/>
      <c r="D82" s="265"/>
      <c r="E82" s="69"/>
      <c r="F82" s="43">
        <v>1</v>
      </c>
      <c r="G82" s="44">
        <v>0</v>
      </c>
      <c r="H82" s="256"/>
      <c r="I82" s="44"/>
      <c r="J82" s="44"/>
      <c r="K82" s="44"/>
      <c r="L82" s="44"/>
      <c r="M82" s="44"/>
      <c r="N82" s="44"/>
      <c r="O82" s="44"/>
      <c r="P82" s="44"/>
      <c r="Q82" s="202"/>
    </row>
    <row r="83" spans="1:17" s="2" customFormat="1" ht="24" hidden="1" customHeight="1" x14ac:dyDescent="0.25">
      <c r="A83" s="6"/>
      <c r="B83" s="188" t="s">
        <v>33</v>
      </c>
      <c r="C83" s="264"/>
      <c r="D83" s="265"/>
      <c r="E83" s="69"/>
      <c r="F83" s="30">
        <v>-2</v>
      </c>
      <c r="G83" s="31">
        <v>-1</v>
      </c>
      <c r="H83" s="234"/>
      <c r="I83" s="31"/>
      <c r="J83" s="31"/>
      <c r="K83" s="31"/>
      <c r="L83" s="31"/>
      <c r="M83" s="31"/>
      <c r="N83" s="31"/>
      <c r="O83" s="31"/>
      <c r="P83" s="31"/>
      <c r="Q83" s="243"/>
    </row>
    <row r="84" spans="1:17" s="2" customFormat="1" ht="17.45" customHeight="1" x14ac:dyDescent="0.25">
      <c r="A84" s="6"/>
      <c r="B84" s="1129" t="s">
        <v>162</v>
      </c>
      <c r="C84" s="1130"/>
      <c r="D84" s="1130"/>
      <c r="E84" s="1130"/>
      <c r="F84" s="1130"/>
      <c r="G84" s="1130"/>
      <c r="H84" s="1130"/>
      <c r="I84" s="1130"/>
      <c r="J84" s="1130"/>
      <c r="K84" s="1130"/>
      <c r="L84" s="1130"/>
      <c r="M84" s="1130"/>
      <c r="N84" s="1130"/>
      <c r="O84" s="1130"/>
      <c r="P84" s="1130"/>
      <c r="Q84" s="1131"/>
    </row>
    <row r="85" spans="1:17" s="2" customFormat="1" ht="36" customHeight="1" x14ac:dyDescent="0.25">
      <c r="A85" s="6"/>
      <c r="B85" s="293" t="s">
        <v>171</v>
      </c>
      <c r="C85" s="264"/>
      <c r="D85" s="282"/>
      <c r="E85" s="166">
        <f>SUM(F85:Q85)</f>
        <v>5025</v>
      </c>
      <c r="F85" s="351" t="s">
        <v>136</v>
      </c>
      <c r="G85" s="25">
        <v>404</v>
      </c>
      <c r="H85" s="25">
        <v>454</v>
      </c>
      <c r="I85" s="25">
        <f>238+212+102</f>
        <v>552</v>
      </c>
      <c r="J85" s="25">
        <f>233+209+100</f>
        <v>542</v>
      </c>
      <c r="K85" s="25">
        <f>224+207+99</f>
        <v>530</v>
      </c>
      <c r="L85" s="25">
        <f>224+199+97</f>
        <v>520</v>
      </c>
      <c r="M85" s="25">
        <v>424</v>
      </c>
      <c r="N85" s="25">
        <v>410</v>
      </c>
      <c r="O85" s="25">
        <v>401</v>
      </c>
      <c r="P85" s="222">
        <v>401</v>
      </c>
      <c r="Q85" s="202">
        <v>387</v>
      </c>
    </row>
    <row r="86" spans="1:17" s="2" customFormat="1" ht="24" customHeight="1" x14ac:dyDescent="0.25">
      <c r="A86" s="6"/>
      <c r="B86" s="46" t="s">
        <v>172</v>
      </c>
      <c r="C86" s="264"/>
      <c r="D86" s="282"/>
      <c r="E86" s="166">
        <f>SUM(F86:Q86)</f>
        <v>1935</v>
      </c>
      <c r="F86" s="43">
        <v>47</v>
      </c>
      <c r="G86" s="44">
        <v>111</v>
      </c>
      <c r="H86" s="44">
        <v>171</v>
      </c>
      <c r="I86" s="44">
        <v>177</v>
      </c>
      <c r="J86" s="44">
        <v>182</v>
      </c>
      <c r="K86" s="44">
        <v>182</v>
      </c>
      <c r="L86" s="44">
        <v>175</v>
      </c>
      <c r="M86" s="44">
        <v>168</v>
      </c>
      <c r="N86" s="44">
        <v>167</v>
      </c>
      <c r="O86" s="44">
        <v>182</v>
      </c>
      <c r="P86" s="256">
        <v>192</v>
      </c>
      <c r="Q86" s="202">
        <v>181</v>
      </c>
    </row>
    <row r="87" spans="1:17" s="2" customFormat="1" ht="24" customHeight="1" x14ac:dyDescent="0.25">
      <c r="A87" s="6"/>
      <c r="B87" s="46" t="s">
        <v>170</v>
      </c>
      <c r="C87" s="264"/>
      <c r="D87" s="282"/>
      <c r="E87" s="58"/>
      <c r="F87" s="43">
        <v>67</v>
      </c>
      <c r="G87" s="44">
        <v>3</v>
      </c>
      <c r="H87" s="44">
        <v>11</v>
      </c>
      <c r="I87" s="44">
        <v>24</v>
      </c>
      <c r="J87" s="44">
        <v>16</v>
      </c>
      <c r="K87" s="44">
        <v>24</v>
      </c>
      <c r="L87" s="44">
        <v>57</v>
      </c>
      <c r="M87" s="44">
        <v>82</v>
      </c>
      <c r="N87" s="44">
        <v>101</v>
      </c>
      <c r="O87" s="44">
        <f>61+14</f>
        <v>75</v>
      </c>
      <c r="P87" s="256">
        <v>91</v>
      </c>
      <c r="Q87" s="202">
        <v>72</v>
      </c>
    </row>
    <row r="88" spans="1:17" s="2" customFormat="1" ht="24" hidden="1" customHeight="1" x14ac:dyDescent="0.25">
      <c r="A88" s="6"/>
      <c r="B88" s="185" t="s">
        <v>32</v>
      </c>
      <c r="C88" s="264"/>
      <c r="D88" s="282"/>
      <c r="E88" s="69"/>
      <c r="F88" s="43">
        <v>13</v>
      </c>
      <c r="G88" s="44"/>
      <c r="H88" s="44"/>
      <c r="I88" s="44"/>
      <c r="J88" s="44"/>
      <c r="K88" s="44"/>
      <c r="L88" s="44"/>
      <c r="M88" s="44"/>
      <c r="N88" s="44"/>
      <c r="O88" s="44"/>
      <c r="P88" s="256"/>
      <c r="Q88" s="202"/>
    </row>
    <row r="89" spans="1:17" s="2" customFormat="1" ht="24" hidden="1" customHeight="1" x14ac:dyDescent="0.25">
      <c r="A89" s="6"/>
      <c r="B89" s="188" t="s">
        <v>33</v>
      </c>
      <c r="C89" s="262"/>
      <c r="D89" s="287"/>
      <c r="E89" s="83"/>
      <c r="F89" s="30">
        <v>-208</v>
      </c>
      <c r="G89" s="31"/>
      <c r="H89" s="31"/>
      <c r="I89" s="31"/>
      <c r="J89" s="31"/>
      <c r="K89" s="31"/>
      <c r="L89" s="31"/>
      <c r="M89" s="31"/>
      <c r="N89" s="31"/>
      <c r="O89" s="31"/>
      <c r="P89" s="234"/>
      <c r="Q89" s="243"/>
    </row>
    <row r="90" spans="1:17" s="2" customFormat="1" ht="18" hidden="1" customHeight="1" x14ac:dyDescent="0.25">
      <c r="A90" s="6"/>
      <c r="B90" s="1132" t="s">
        <v>163</v>
      </c>
      <c r="C90" s="1133"/>
      <c r="D90" s="1133"/>
      <c r="E90" s="1133"/>
      <c r="F90" s="1133"/>
      <c r="G90" s="1133"/>
      <c r="H90" s="1133"/>
      <c r="I90" s="1133"/>
      <c r="J90" s="1133"/>
      <c r="K90" s="1133"/>
      <c r="L90" s="1133"/>
      <c r="M90" s="1133"/>
      <c r="N90" s="1133"/>
      <c r="O90" s="1133"/>
      <c r="P90" s="1133"/>
      <c r="Q90" s="1134"/>
    </row>
    <row r="91" spans="1:17" s="2" customFormat="1" ht="24" hidden="1" customHeight="1" x14ac:dyDescent="0.25">
      <c r="A91" s="6"/>
      <c r="B91" s="288" t="s">
        <v>164</v>
      </c>
      <c r="C91" s="329"/>
      <c r="D91" s="330"/>
      <c r="E91" s="166">
        <v>17</v>
      </c>
      <c r="F91" s="284">
        <v>17</v>
      </c>
      <c r="G91" s="25"/>
      <c r="H91" s="25"/>
      <c r="I91" s="25"/>
      <c r="J91" s="25"/>
      <c r="K91" s="25"/>
      <c r="L91" s="25"/>
      <c r="M91" s="25"/>
      <c r="N91" s="25"/>
      <c r="O91" s="25"/>
      <c r="P91" s="222"/>
      <c r="Q91" s="202"/>
    </row>
    <row r="92" spans="1:17" s="2" customFormat="1" ht="24" hidden="1" customHeight="1" x14ac:dyDescent="0.25">
      <c r="A92" s="6"/>
      <c r="B92" s="289" t="s">
        <v>165</v>
      </c>
      <c r="C92" s="331"/>
      <c r="D92" s="332"/>
      <c r="E92" s="333">
        <v>23</v>
      </c>
      <c r="F92" s="285">
        <v>23</v>
      </c>
      <c r="G92" s="67"/>
      <c r="H92" s="67"/>
      <c r="I92" s="67"/>
      <c r="J92" s="67"/>
      <c r="K92" s="67"/>
      <c r="L92" s="67"/>
      <c r="M92" s="67"/>
      <c r="N92" s="67"/>
      <c r="O92" s="67"/>
      <c r="P92" s="286"/>
      <c r="Q92" s="249"/>
    </row>
    <row r="93" spans="1:17" x14ac:dyDescent="0.3">
      <c r="A93" s="5"/>
      <c r="B93" s="1112" t="s">
        <v>59</v>
      </c>
      <c r="C93" s="1113"/>
      <c r="D93" s="1113"/>
      <c r="E93" s="1113"/>
      <c r="F93" s="1113"/>
      <c r="G93" s="1113"/>
      <c r="H93" s="1113"/>
      <c r="I93" s="1113"/>
      <c r="J93" s="1113"/>
      <c r="K93" s="1113"/>
      <c r="L93" s="1113"/>
      <c r="M93" s="1113"/>
      <c r="N93" s="1113"/>
      <c r="O93" s="1113"/>
      <c r="P93" s="1113"/>
      <c r="Q93" s="1114"/>
    </row>
    <row r="94" spans="1:17" s="3" customFormat="1" ht="24" customHeight="1" x14ac:dyDescent="0.25">
      <c r="A94" s="7"/>
      <c r="B94" s="21" t="s">
        <v>60</v>
      </c>
      <c r="C94" s="337">
        <v>10469</v>
      </c>
      <c r="D94" s="85">
        <v>15584</v>
      </c>
      <c r="E94" s="283">
        <f t="shared" ref="E94:E102" si="5">SUM(F94:Q94)</f>
        <v>14504</v>
      </c>
      <c r="F94" s="343">
        <f t="shared" ref="F94:Q94" si="6">SUM(F95:F101)</f>
        <v>1022</v>
      </c>
      <c r="G94" s="342">
        <f t="shared" si="6"/>
        <v>1235</v>
      </c>
      <c r="H94" s="217">
        <f t="shared" si="6"/>
        <v>1261</v>
      </c>
      <c r="I94" s="217">
        <f t="shared" si="6"/>
        <v>1266</v>
      </c>
      <c r="J94" s="217">
        <f t="shared" si="6"/>
        <v>1214</v>
      </c>
      <c r="K94" s="217">
        <f t="shared" si="6"/>
        <v>1349</v>
      </c>
      <c r="L94" s="217">
        <f t="shared" si="6"/>
        <v>2016</v>
      </c>
      <c r="M94" s="217">
        <f t="shared" si="6"/>
        <v>1477</v>
      </c>
      <c r="N94" s="217">
        <f t="shared" si="6"/>
        <v>1244</v>
      </c>
      <c r="O94" s="217">
        <f t="shared" si="6"/>
        <v>915</v>
      </c>
      <c r="P94" s="217">
        <f t="shared" si="6"/>
        <v>740</v>
      </c>
      <c r="Q94" s="278">
        <f t="shared" si="6"/>
        <v>765</v>
      </c>
    </row>
    <row r="95" spans="1:17" s="3" customFormat="1" ht="24" customHeight="1" x14ac:dyDescent="0.25">
      <c r="A95" s="7"/>
      <c r="B95" s="190" t="s">
        <v>61</v>
      </c>
      <c r="C95" s="337">
        <v>6755</v>
      </c>
      <c r="D95" s="91">
        <v>11380</v>
      </c>
      <c r="E95" s="167">
        <f t="shared" si="5"/>
        <v>9344</v>
      </c>
      <c r="F95" s="92">
        <f>247+4+13+279+6</f>
        <v>549</v>
      </c>
      <c r="G95" s="93">
        <f>493+4+15+223+1</f>
        <v>736</v>
      </c>
      <c r="H95" s="93">
        <f>739+5+11</f>
        <v>755</v>
      </c>
      <c r="I95" s="93">
        <f>673+56+7+4+1</f>
        <v>741</v>
      </c>
      <c r="J95" s="93">
        <f>663+55+13+6</f>
        <v>737</v>
      </c>
      <c r="K95" s="93">
        <f>612+56+1+164+8+41</f>
        <v>882</v>
      </c>
      <c r="L95" s="244">
        <f>1377+176+20+5+14</f>
        <v>1592</v>
      </c>
      <c r="M95" s="93">
        <f>879+125+17+5+4+68</f>
        <v>1098</v>
      </c>
      <c r="N95" s="93">
        <f>776+86+5+5</f>
        <v>872</v>
      </c>
      <c r="O95" s="93">
        <f>481+29+6</f>
        <v>516</v>
      </c>
      <c r="P95" s="244">
        <f>399+13+4</f>
        <v>416</v>
      </c>
      <c r="Q95" s="94">
        <f>433+16+1</f>
        <v>450</v>
      </c>
    </row>
    <row r="96" spans="1:17" s="3" customFormat="1" ht="24" customHeight="1" x14ac:dyDescent="0.25">
      <c r="A96" s="7"/>
      <c r="B96" s="190" t="s">
        <v>62</v>
      </c>
      <c r="C96" s="337">
        <v>367</v>
      </c>
      <c r="D96" s="91">
        <v>827</v>
      </c>
      <c r="E96" s="167">
        <f t="shared" si="5"/>
        <v>717</v>
      </c>
      <c r="F96" s="92">
        <f>43+2+49</f>
        <v>94</v>
      </c>
      <c r="G96" s="93">
        <f>74+3+17</f>
        <v>94</v>
      </c>
      <c r="H96" s="93">
        <f>1+81+2</f>
        <v>84</v>
      </c>
      <c r="I96" s="93">
        <v>94</v>
      </c>
      <c r="J96" s="93">
        <f>55+1</f>
        <v>56</v>
      </c>
      <c r="K96" s="93">
        <v>63</v>
      </c>
      <c r="L96" s="244">
        <f>54+3</f>
        <v>57</v>
      </c>
      <c r="M96" s="93">
        <f>1+44+4</f>
        <v>49</v>
      </c>
      <c r="N96" s="93">
        <f>1+51+1</f>
        <v>53</v>
      </c>
      <c r="O96" s="93">
        <f>45+4</f>
        <v>49</v>
      </c>
      <c r="P96" s="244">
        <f>13+1</f>
        <v>14</v>
      </c>
      <c r="Q96" s="94">
        <f>2+6+2</f>
        <v>10</v>
      </c>
    </row>
    <row r="97" spans="1:17" s="3" customFormat="1" ht="24" customHeight="1" x14ac:dyDescent="0.25">
      <c r="A97" s="7"/>
      <c r="B97" s="190" t="s">
        <v>70</v>
      </c>
      <c r="C97" s="337">
        <v>116</v>
      </c>
      <c r="D97" s="91">
        <v>82</v>
      </c>
      <c r="E97" s="167">
        <f t="shared" si="5"/>
        <v>78</v>
      </c>
      <c r="F97" s="92">
        <f>3+2</f>
        <v>5</v>
      </c>
      <c r="G97" s="93">
        <f>3</f>
        <v>3</v>
      </c>
      <c r="H97" s="93">
        <f>1+5</f>
        <v>6</v>
      </c>
      <c r="I97" s="93">
        <f>4+5</f>
        <v>9</v>
      </c>
      <c r="J97" s="93">
        <f>2+9</f>
        <v>11</v>
      </c>
      <c r="K97" s="93">
        <f>2+4</f>
        <v>6</v>
      </c>
      <c r="L97" s="244">
        <f>3+2</f>
        <v>5</v>
      </c>
      <c r="M97" s="93">
        <v>5</v>
      </c>
      <c r="N97" s="93">
        <f>2+5</f>
        <v>7</v>
      </c>
      <c r="O97" s="93">
        <f>1+3</f>
        <v>4</v>
      </c>
      <c r="P97" s="244">
        <f>3+4</f>
        <v>7</v>
      </c>
      <c r="Q97" s="94">
        <v>10</v>
      </c>
    </row>
    <row r="98" spans="1:17" s="3" customFormat="1" ht="24" customHeight="1" x14ac:dyDescent="0.25">
      <c r="A98" s="7"/>
      <c r="B98" s="190" t="s">
        <v>63</v>
      </c>
      <c r="C98" s="337">
        <v>1660</v>
      </c>
      <c r="D98" s="91">
        <v>1825</v>
      </c>
      <c r="E98" s="167">
        <f t="shared" si="5"/>
        <v>2599</v>
      </c>
      <c r="F98" s="92">
        <f>2+115+1+1+105</f>
        <v>224</v>
      </c>
      <c r="G98" s="93">
        <f>197+1+58</f>
        <v>256</v>
      </c>
      <c r="H98" s="93">
        <f>1+249+2</f>
        <v>252</v>
      </c>
      <c r="I98" s="93">
        <f>2+246+1</f>
        <v>249</v>
      </c>
      <c r="J98" s="93">
        <f>1+263</f>
        <v>264</v>
      </c>
      <c r="K98" s="93">
        <f>256+1</f>
        <v>257</v>
      </c>
      <c r="L98" s="244">
        <v>207</v>
      </c>
      <c r="M98" s="93">
        <v>182</v>
      </c>
      <c r="N98" s="93">
        <v>111</v>
      </c>
      <c r="O98" s="93">
        <f>218+1</f>
        <v>219</v>
      </c>
      <c r="P98" s="244">
        <f>210</f>
        <v>210</v>
      </c>
      <c r="Q98" s="94">
        <v>168</v>
      </c>
    </row>
    <row r="99" spans="1:17" s="3" customFormat="1" ht="24" customHeight="1" x14ac:dyDescent="0.25">
      <c r="A99" s="7"/>
      <c r="B99" s="190" t="s">
        <v>64</v>
      </c>
      <c r="C99" s="337">
        <v>1350</v>
      </c>
      <c r="D99" s="91">
        <v>1227</v>
      </c>
      <c r="E99" s="167">
        <f t="shared" si="5"/>
        <v>1418</v>
      </c>
      <c r="F99" s="92">
        <f>64+1+66</f>
        <v>131</v>
      </c>
      <c r="G99" s="93">
        <f>93+29</f>
        <v>122</v>
      </c>
      <c r="H99" s="93">
        <v>142</v>
      </c>
      <c r="I99" s="93">
        <f>139+2</f>
        <v>141</v>
      </c>
      <c r="J99" s="93">
        <v>124</v>
      </c>
      <c r="K99" s="93">
        <v>131</v>
      </c>
      <c r="L99" s="244">
        <v>125</v>
      </c>
      <c r="M99" s="93">
        <v>91</v>
      </c>
      <c r="N99" s="93">
        <f>105+1</f>
        <v>106</v>
      </c>
      <c r="O99" s="93">
        <f>114+1</f>
        <v>115</v>
      </c>
      <c r="P99" s="244">
        <v>79</v>
      </c>
      <c r="Q99" s="94">
        <f>110+1</f>
        <v>111</v>
      </c>
    </row>
    <row r="100" spans="1:17" s="3" customFormat="1" ht="24" customHeight="1" x14ac:dyDescent="0.25">
      <c r="A100" s="7"/>
      <c r="B100" s="190" t="s">
        <v>65</v>
      </c>
      <c r="C100" s="337">
        <v>83</v>
      </c>
      <c r="D100" s="91">
        <v>119</v>
      </c>
      <c r="E100" s="167">
        <f t="shared" si="5"/>
        <v>113</v>
      </c>
      <c r="F100" s="92">
        <f>2+1+8</f>
        <v>11</v>
      </c>
      <c r="G100" s="93">
        <f>5+5</f>
        <v>10</v>
      </c>
      <c r="H100" s="93">
        <f>9+1</f>
        <v>10</v>
      </c>
      <c r="I100" s="93">
        <v>13</v>
      </c>
      <c r="J100" s="93">
        <v>13</v>
      </c>
      <c r="K100" s="93">
        <v>6</v>
      </c>
      <c r="L100" s="244">
        <v>12</v>
      </c>
      <c r="M100" s="93">
        <v>8</v>
      </c>
      <c r="N100" s="93">
        <v>10</v>
      </c>
      <c r="O100" s="93">
        <v>4</v>
      </c>
      <c r="P100" s="244">
        <v>5</v>
      </c>
      <c r="Q100" s="94">
        <v>11</v>
      </c>
    </row>
    <row r="101" spans="1:17" s="3" customFormat="1" ht="23.45" customHeight="1" x14ac:dyDescent="0.25">
      <c r="A101" s="7"/>
      <c r="B101" s="184" t="s">
        <v>122</v>
      </c>
      <c r="C101" s="337">
        <v>138</v>
      </c>
      <c r="D101" s="91">
        <v>124</v>
      </c>
      <c r="E101" s="167">
        <f t="shared" si="5"/>
        <v>235</v>
      </c>
      <c r="F101" s="92">
        <f>1+1+4+1+1</f>
        <v>8</v>
      </c>
      <c r="G101" s="93">
        <f>3+1+2+1+1+1+1+3+1</f>
        <v>14</v>
      </c>
      <c r="H101" s="93">
        <f>4+3+4+1</f>
        <v>12</v>
      </c>
      <c r="I101" s="93">
        <f>12+4+3</f>
        <v>19</v>
      </c>
      <c r="J101" s="93">
        <f>6+1+1+1</f>
        <v>9</v>
      </c>
      <c r="K101" s="93">
        <f>1+1+2</f>
        <v>4</v>
      </c>
      <c r="L101" s="244">
        <f>5+1+6+4+2</f>
        <v>18</v>
      </c>
      <c r="M101" s="93">
        <f>38+1+2+2+1</f>
        <v>44</v>
      </c>
      <c r="N101" s="93">
        <f>15+2+64+2+1+1</f>
        <v>85</v>
      </c>
      <c r="O101" s="93">
        <f>4+1+2+1</f>
        <v>8</v>
      </c>
      <c r="P101" s="244">
        <f>4+1+1+1+2</f>
        <v>9</v>
      </c>
      <c r="Q101" s="94">
        <f>3+1+1</f>
        <v>5</v>
      </c>
    </row>
    <row r="102" spans="1:17" s="3" customFormat="1" ht="24" customHeight="1" x14ac:dyDescent="0.25">
      <c r="A102" s="7"/>
      <c r="B102" s="95" t="s">
        <v>66</v>
      </c>
      <c r="C102" s="338">
        <v>28</v>
      </c>
      <c r="D102" s="97">
        <v>117</v>
      </c>
      <c r="E102" s="168">
        <f t="shared" si="5"/>
        <v>71</v>
      </c>
      <c r="F102" s="98">
        <v>6</v>
      </c>
      <c r="G102" s="99">
        <v>15</v>
      </c>
      <c r="H102" s="99">
        <v>11</v>
      </c>
      <c r="I102" s="99">
        <v>12</v>
      </c>
      <c r="J102" s="99">
        <v>7</v>
      </c>
      <c r="K102" s="99">
        <v>4</v>
      </c>
      <c r="L102" s="99">
        <v>2</v>
      </c>
      <c r="M102" s="99">
        <v>3</v>
      </c>
      <c r="N102" s="99">
        <v>1</v>
      </c>
      <c r="O102" s="99">
        <v>6</v>
      </c>
      <c r="P102" s="260">
        <v>1</v>
      </c>
      <c r="Q102" s="100">
        <v>3</v>
      </c>
    </row>
    <row r="103" spans="1:17" x14ac:dyDescent="0.3">
      <c r="A103" s="5"/>
      <c r="B103" s="1098" t="s">
        <v>71</v>
      </c>
      <c r="C103" s="1099"/>
      <c r="D103" s="1099"/>
      <c r="E103" s="1099"/>
      <c r="F103" s="1099"/>
      <c r="G103" s="1099"/>
      <c r="H103" s="1099"/>
      <c r="I103" s="1099"/>
      <c r="J103" s="1099"/>
      <c r="K103" s="1099"/>
      <c r="L103" s="1099"/>
      <c r="M103" s="1099"/>
      <c r="N103" s="1099"/>
      <c r="O103" s="1099"/>
      <c r="P103" s="1099"/>
      <c r="Q103" s="1100"/>
    </row>
    <row r="104" spans="1:17" ht="17.100000000000001" customHeight="1" x14ac:dyDescent="0.3">
      <c r="A104" s="5"/>
      <c r="B104" s="1135" t="s">
        <v>73</v>
      </c>
      <c r="C104" s="1136"/>
      <c r="D104" s="1136"/>
      <c r="E104" s="1136"/>
      <c r="F104" s="1136"/>
      <c r="G104" s="1136"/>
      <c r="H104" s="1136"/>
      <c r="I104" s="1136"/>
      <c r="J104" s="1136"/>
      <c r="K104" s="1136"/>
      <c r="L104" s="1136"/>
      <c r="M104" s="1136"/>
      <c r="N104" s="1136"/>
      <c r="O104" s="1136"/>
      <c r="P104" s="1136"/>
      <c r="Q104" s="1137"/>
    </row>
    <row r="105" spans="1:17" s="2" customFormat="1" ht="24" customHeight="1" x14ac:dyDescent="0.25">
      <c r="A105" s="6"/>
      <c r="B105" s="72" t="s">
        <v>208</v>
      </c>
      <c r="C105" s="1106"/>
      <c r="D105" s="1107"/>
      <c r="E105" s="215">
        <v>2677</v>
      </c>
      <c r="F105" s="74">
        <v>2150</v>
      </c>
      <c r="G105" s="224">
        <v>2222</v>
      </c>
      <c r="H105" s="224">
        <v>2309</v>
      </c>
      <c r="I105" s="224">
        <v>2398</v>
      </c>
      <c r="J105" s="224">
        <v>2531</v>
      </c>
      <c r="K105" s="224">
        <f>J105+SUM(K106:K107)</f>
        <v>2677</v>
      </c>
      <c r="L105" s="360" t="s">
        <v>136</v>
      </c>
      <c r="M105" s="360" t="s">
        <v>136</v>
      </c>
      <c r="N105" s="360" t="s">
        <v>136</v>
      </c>
      <c r="O105" s="360" t="s">
        <v>136</v>
      </c>
      <c r="P105" s="360" t="s">
        <v>136</v>
      </c>
      <c r="Q105" s="405" t="s">
        <v>136</v>
      </c>
    </row>
    <row r="106" spans="1:17" s="2" customFormat="1" ht="24" customHeight="1" x14ac:dyDescent="0.25">
      <c r="A106" s="6"/>
      <c r="B106" s="185" t="s">
        <v>32</v>
      </c>
      <c r="C106" s="1106"/>
      <c r="D106" s="1107"/>
      <c r="E106" s="69"/>
      <c r="F106" s="78">
        <v>65</v>
      </c>
      <c r="G106" s="79">
        <v>56</v>
      </c>
      <c r="H106" s="79">
        <v>42</v>
      </c>
      <c r="I106" s="79">
        <v>97</v>
      </c>
      <c r="J106" s="79">
        <v>179</v>
      </c>
      <c r="K106" s="79">
        <v>174</v>
      </c>
      <c r="L106" s="153" t="s">
        <v>136</v>
      </c>
      <c r="M106" s="153" t="s">
        <v>136</v>
      </c>
      <c r="N106" s="153" t="s">
        <v>136</v>
      </c>
      <c r="O106" s="153" t="s">
        <v>136</v>
      </c>
      <c r="P106" s="153" t="s">
        <v>136</v>
      </c>
      <c r="Q106" s="406" t="s">
        <v>136</v>
      </c>
    </row>
    <row r="107" spans="1:17" s="2" customFormat="1" ht="24" customHeight="1" x14ac:dyDescent="0.25">
      <c r="A107" s="6"/>
      <c r="B107" s="185" t="s">
        <v>142</v>
      </c>
      <c r="C107" s="1106"/>
      <c r="D107" s="1107"/>
      <c r="E107" s="69"/>
      <c r="F107" s="78">
        <v>-81</v>
      </c>
      <c r="G107" s="79">
        <v>-49</v>
      </c>
      <c r="H107" s="79">
        <v>-50</v>
      </c>
      <c r="I107" s="79">
        <v>-50</v>
      </c>
      <c r="J107" s="79">
        <v>-48</v>
      </c>
      <c r="K107" s="79">
        <v>-28</v>
      </c>
      <c r="L107" s="153" t="s">
        <v>136</v>
      </c>
      <c r="M107" s="153" t="s">
        <v>136</v>
      </c>
      <c r="N107" s="153" t="s">
        <v>136</v>
      </c>
      <c r="O107" s="153" t="s">
        <v>136</v>
      </c>
      <c r="P107" s="153" t="s">
        <v>136</v>
      </c>
      <c r="Q107" s="406" t="s">
        <v>136</v>
      </c>
    </row>
    <row r="108" spans="1:17" s="2" customFormat="1" ht="24" customHeight="1" x14ac:dyDescent="0.25">
      <c r="A108" s="6"/>
      <c r="B108" s="46" t="s">
        <v>207</v>
      </c>
      <c r="C108" s="1106"/>
      <c r="D108" s="1107"/>
      <c r="E108" s="69"/>
      <c r="F108" s="78">
        <v>57</v>
      </c>
      <c r="G108" s="79">
        <v>56</v>
      </c>
      <c r="H108" s="79">
        <v>63</v>
      </c>
      <c r="I108" s="79">
        <v>61</v>
      </c>
      <c r="J108" s="79">
        <v>64</v>
      </c>
      <c r="K108" s="79">
        <v>66</v>
      </c>
      <c r="L108" s="153" t="s">
        <v>136</v>
      </c>
      <c r="M108" s="153" t="s">
        <v>136</v>
      </c>
      <c r="N108" s="153" t="s">
        <v>136</v>
      </c>
      <c r="O108" s="153" t="s">
        <v>136</v>
      </c>
      <c r="P108" s="153" t="s">
        <v>136</v>
      </c>
      <c r="Q108" s="406" t="s">
        <v>136</v>
      </c>
    </row>
    <row r="109" spans="1:17" s="2" customFormat="1" ht="24" customHeight="1" x14ac:dyDescent="0.25">
      <c r="A109" s="6"/>
      <c r="B109" s="46" t="s">
        <v>206</v>
      </c>
      <c r="C109" s="1106"/>
      <c r="D109" s="1107"/>
      <c r="E109" s="69"/>
      <c r="F109" s="78">
        <v>37</v>
      </c>
      <c r="G109" s="79">
        <v>41</v>
      </c>
      <c r="H109" s="79">
        <v>56</v>
      </c>
      <c r="I109" s="79">
        <v>51</v>
      </c>
      <c r="J109" s="79">
        <v>37</v>
      </c>
      <c r="K109" s="79">
        <v>37</v>
      </c>
      <c r="L109" s="153" t="s">
        <v>136</v>
      </c>
      <c r="M109" s="153" t="s">
        <v>136</v>
      </c>
      <c r="N109" s="153" t="s">
        <v>136</v>
      </c>
      <c r="O109" s="153" t="s">
        <v>136</v>
      </c>
      <c r="P109" s="153" t="s">
        <v>136</v>
      </c>
      <c r="Q109" s="406" t="s">
        <v>136</v>
      </c>
    </row>
    <row r="110" spans="1:17" s="2" customFormat="1" ht="24" customHeight="1" x14ac:dyDescent="0.25">
      <c r="A110" s="6"/>
      <c r="B110" s="70" t="s">
        <v>75</v>
      </c>
      <c r="C110" s="1106"/>
      <c r="D110" s="1107"/>
      <c r="E110" s="215">
        <v>391</v>
      </c>
      <c r="F110" s="78">
        <v>1025</v>
      </c>
      <c r="G110" s="79">
        <v>1066</v>
      </c>
      <c r="H110" s="79">
        <v>1233</v>
      </c>
      <c r="I110" s="79">
        <v>123</v>
      </c>
      <c r="J110" s="79">
        <f>I110+J111</f>
        <v>268</v>
      </c>
      <c r="K110" s="79">
        <f>J110+K111</f>
        <v>391</v>
      </c>
      <c r="L110" s="153" t="s">
        <v>136</v>
      </c>
      <c r="M110" s="153" t="s">
        <v>136</v>
      </c>
      <c r="N110" s="153" t="s">
        <v>136</v>
      </c>
      <c r="O110" s="153" t="s">
        <v>136</v>
      </c>
      <c r="P110" s="153" t="s">
        <v>136</v>
      </c>
      <c r="Q110" s="406" t="s">
        <v>136</v>
      </c>
    </row>
    <row r="111" spans="1:17" s="2" customFormat="1" ht="24" customHeight="1" x14ac:dyDescent="0.25">
      <c r="A111" s="6"/>
      <c r="B111" s="185" t="s">
        <v>32</v>
      </c>
      <c r="C111" s="1106"/>
      <c r="D111" s="1107"/>
      <c r="E111" s="69"/>
      <c r="F111" s="214">
        <v>94</v>
      </c>
      <c r="G111" s="79">
        <v>126</v>
      </c>
      <c r="H111" s="79">
        <v>95</v>
      </c>
      <c r="I111" s="79">
        <v>123</v>
      </c>
      <c r="J111" s="79">
        <v>145</v>
      </c>
      <c r="K111" s="79">
        <v>123</v>
      </c>
      <c r="L111" s="153" t="s">
        <v>136</v>
      </c>
      <c r="M111" s="153" t="s">
        <v>136</v>
      </c>
      <c r="N111" s="153" t="s">
        <v>136</v>
      </c>
      <c r="O111" s="153" t="s">
        <v>136</v>
      </c>
      <c r="P111" s="153" t="s">
        <v>136</v>
      </c>
      <c r="Q111" s="406" t="s">
        <v>136</v>
      </c>
    </row>
    <row r="112" spans="1:17" s="2" customFormat="1" ht="24" customHeight="1" x14ac:dyDescent="0.25">
      <c r="A112" s="6"/>
      <c r="B112" s="188" t="s">
        <v>33</v>
      </c>
      <c r="C112" s="1106"/>
      <c r="D112" s="1107"/>
      <c r="E112" s="69"/>
      <c r="F112" s="242" t="s">
        <v>173</v>
      </c>
      <c r="G112" s="37">
        <v>-4</v>
      </c>
      <c r="H112" s="37">
        <v>-12</v>
      </c>
      <c r="I112" s="37">
        <v>1199</v>
      </c>
      <c r="J112" s="37">
        <v>0</v>
      </c>
      <c r="K112" s="37">
        <v>0</v>
      </c>
      <c r="L112" s="153" t="s">
        <v>136</v>
      </c>
      <c r="M112" s="153" t="s">
        <v>136</v>
      </c>
      <c r="N112" s="153" t="s">
        <v>136</v>
      </c>
      <c r="O112" s="153" t="s">
        <v>136</v>
      </c>
      <c r="P112" s="153" t="s">
        <v>136</v>
      </c>
      <c r="Q112" s="406" t="s">
        <v>136</v>
      </c>
    </row>
    <row r="113" spans="1:17" x14ac:dyDescent="0.3">
      <c r="A113" s="5"/>
      <c r="B113" s="1124" t="s">
        <v>76</v>
      </c>
      <c r="C113" s="1125"/>
      <c r="D113" s="1125"/>
      <c r="E113" s="1125"/>
      <c r="F113" s="1125"/>
      <c r="G113" s="1125"/>
      <c r="H113" s="1125"/>
      <c r="I113" s="1125"/>
      <c r="J113" s="1125"/>
      <c r="K113" s="1125"/>
      <c r="L113" s="1125"/>
      <c r="M113" s="1125"/>
      <c r="N113" s="1125"/>
      <c r="O113" s="1125"/>
      <c r="P113" s="1125"/>
      <c r="Q113" s="1126"/>
    </row>
    <row r="114" spans="1:17" s="2" customFormat="1" ht="24" customHeight="1" x14ac:dyDescent="0.25">
      <c r="A114" s="6"/>
      <c r="B114" s="72" t="s">
        <v>78</v>
      </c>
      <c r="C114" s="1138"/>
      <c r="D114" s="1139"/>
      <c r="E114" s="1115"/>
      <c r="F114" s="74">
        <v>22264</v>
      </c>
      <c r="G114" s="75">
        <v>22349</v>
      </c>
      <c r="H114" s="75">
        <v>22410</v>
      </c>
      <c r="I114" s="75">
        <v>22568</v>
      </c>
      <c r="J114" s="75">
        <v>22494</v>
      </c>
      <c r="K114" s="75">
        <v>22492</v>
      </c>
      <c r="L114" s="75">
        <v>22172</v>
      </c>
      <c r="M114" s="75">
        <v>22159</v>
      </c>
      <c r="N114" s="75">
        <v>22097</v>
      </c>
      <c r="O114" s="75">
        <v>21885</v>
      </c>
      <c r="P114" s="395">
        <v>21522</v>
      </c>
      <c r="Q114" s="76">
        <v>20962</v>
      </c>
    </row>
    <row r="115" spans="1:17" s="2" customFormat="1" ht="24" customHeight="1" x14ac:dyDescent="0.25">
      <c r="A115" s="6"/>
      <c r="B115" s="70" t="s">
        <v>77</v>
      </c>
      <c r="C115" s="1138"/>
      <c r="D115" s="1139"/>
      <c r="E115" s="1115"/>
      <c r="F115" s="78">
        <v>44002</v>
      </c>
      <c r="G115" s="79">
        <v>44053</v>
      </c>
      <c r="H115" s="79">
        <v>44358</v>
      </c>
      <c r="I115" s="79">
        <v>44860</v>
      </c>
      <c r="J115" s="79">
        <v>44778</v>
      </c>
      <c r="K115" s="79">
        <v>43932</v>
      </c>
      <c r="L115" s="79">
        <v>44072</v>
      </c>
      <c r="M115" s="79">
        <v>44080</v>
      </c>
      <c r="N115" s="79">
        <v>43976</v>
      </c>
      <c r="O115" s="79">
        <v>43241</v>
      </c>
      <c r="P115" s="396">
        <v>42900</v>
      </c>
      <c r="Q115" s="80">
        <v>42002</v>
      </c>
    </row>
    <row r="116" spans="1:17" s="2" customFormat="1" ht="24" hidden="1" customHeight="1" x14ac:dyDescent="0.25">
      <c r="A116" s="6"/>
      <c r="B116" s="71" t="s">
        <v>205</v>
      </c>
      <c r="C116" s="1138"/>
      <c r="D116" s="1139"/>
      <c r="E116" s="1115"/>
      <c r="F116" s="359" t="s">
        <v>136</v>
      </c>
      <c r="G116" s="153" t="s">
        <v>136</v>
      </c>
      <c r="H116" s="153" t="s">
        <v>136</v>
      </c>
      <c r="I116" s="153" t="s">
        <v>136</v>
      </c>
      <c r="J116" s="153" t="s">
        <v>136</v>
      </c>
      <c r="K116" s="153" t="s">
        <v>136</v>
      </c>
      <c r="L116" s="153" t="s">
        <v>136</v>
      </c>
      <c r="M116" s="153" t="s">
        <v>136</v>
      </c>
      <c r="N116" s="153" t="s">
        <v>136</v>
      </c>
      <c r="O116" s="153" t="s">
        <v>136</v>
      </c>
      <c r="P116" s="153" t="s">
        <v>136</v>
      </c>
      <c r="Q116" s="38"/>
    </row>
    <row r="117" spans="1:17" s="2" customFormat="1" ht="24" customHeight="1" x14ac:dyDescent="0.25">
      <c r="A117" s="6"/>
      <c r="B117" s="71" t="s">
        <v>79</v>
      </c>
      <c r="C117" s="1138"/>
      <c r="D117" s="1139"/>
      <c r="E117" s="1115"/>
      <c r="F117" s="211">
        <v>5752866</v>
      </c>
      <c r="G117" s="216">
        <v>5782634</v>
      </c>
      <c r="H117" s="216">
        <v>5802564</v>
      </c>
      <c r="I117" s="107">
        <v>5876131</v>
      </c>
      <c r="J117" s="107">
        <v>5738992</v>
      </c>
      <c r="K117" s="107">
        <v>5731535</v>
      </c>
      <c r="L117" s="107">
        <v>5589411</v>
      </c>
      <c r="M117" s="216">
        <v>5589243</v>
      </c>
      <c r="N117" s="107">
        <v>5548607</v>
      </c>
      <c r="O117" s="107">
        <v>5460560</v>
      </c>
      <c r="P117" s="107">
        <v>5364555</v>
      </c>
      <c r="Q117" s="197">
        <v>5262786</v>
      </c>
    </row>
    <row r="118" spans="1:17" x14ac:dyDescent="0.3">
      <c r="A118" s="5"/>
      <c r="B118" s="1124" t="s">
        <v>80</v>
      </c>
      <c r="C118" s="1125"/>
      <c r="D118" s="1125"/>
      <c r="E118" s="1125"/>
      <c r="F118" s="1125"/>
      <c r="G118" s="1125"/>
      <c r="H118" s="1125"/>
      <c r="I118" s="1125"/>
      <c r="J118" s="1125"/>
      <c r="K118" s="1125"/>
      <c r="L118" s="1125"/>
      <c r="M118" s="1125"/>
      <c r="N118" s="1125"/>
      <c r="O118" s="1125"/>
      <c r="P118" s="1125"/>
      <c r="Q118" s="1126"/>
    </row>
    <row r="119" spans="1:17" s="2" customFormat="1" ht="24" customHeight="1" x14ac:dyDescent="0.25">
      <c r="A119" s="6"/>
      <c r="B119" s="72" t="s">
        <v>81</v>
      </c>
      <c r="C119" s="1104"/>
      <c r="D119" s="1105"/>
      <c r="E119" s="1151"/>
      <c r="F119" s="24">
        <f>38399-1582</f>
        <v>36817</v>
      </c>
      <c r="G119" s="25">
        <f>38228-1546</f>
        <v>36682</v>
      </c>
      <c r="H119" s="25">
        <f>38773-1532</f>
        <v>37241</v>
      </c>
      <c r="I119" s="25">
        <f>42787-1791</f>
        <v>40996</v>
      </c>
      <c r="J119" s="25">
        <f>43799-156-1734</f>
        <v>41909</v>
      </c>
      <c r="K119" s="25">
        <f>46131-44-2014</f>
        <v>44073</v>
      </c>
      <c r="L119" s="25">
        <f>47018-2-2125</f>
        <v>44891</v>
      </c>
      <c r="M119" s="25">
        <f>49151-2316</f>
        <v>46835</v>
      </c>
      <c r="N119" s="25">
        <f>51844-2525</f>
        <v>49319</v>
      </c>
      <c r="O119" s="25">
        <f>52510-2587</f>
        <v>49923</v>
      </c>
      <c r="P119" s="222">
        <f>53111-2659</f>
        <v>50452</v>
      </c>
      <c r="Q119" s="26">
        <f>53920-2705</f>
        <v>51215</v>
      </c>
    </row>
    <row r="120" spans="1:17" s="2" customFormat="1" ht="24" customHeight="1" x14ac:dyDescent="0.25">
      <c r="A120" s="6"/>
      <c r="B120" s="70" t="s">
        <v>82</v>
      </c>
      <c r="C120" s="1104"/>
      <c r="D120" s="1105"/>
      <c r="E120" s="1151"/>
      <c r="F120" s="43">
        <f>852+730</f>
        <v>1582</v>
      </c>
      <c r="G120" s="44">
        <f>543+1003</f>
        <v>1546</v>
      </c>
      <c r="H120" s="44">
        <f>1203+329</f>
        <v>1532</v>
      </c>
      <c r="I120" s="44">
        <f>1465+326</f>
        <v>1791</v>
      </c>
      <c r="J120" s="44">
        <f>1734+156</f>
        <v>1890</v>
      </c>
      <c r="K120" s="44">
        <f>44+2014</f>
        <v>2058</v>
      </c>
      <c r="L120" s="44">
        <f>2+2125</f>
        <v>2127</v>
      </c>
      <c r="M120" s="44">
        <v>2316</v>
      </c>
      <c r="N120" s="44">
        <v>2525</v>
      </c>
      <c r="O120" s="44">
        <v>2587</v>
      </c>
      <c r="P120" s="256">
        <v>2659</v>
      </c>
      <c r="Q120" s="45">
        <v>2705</v>
      </c>
    </row>
    <row r="121" spans="1:17" s="2" customFormat="1" ht="24" customHeight="1" x14ac:dyDescent="0.25">
      <c r="A121" s="6"/>
      <c r="B121" s="71" t="s">
        <v>166</v>
      </c>
      <c r="C121" s="1104"/>
      <c r="D121" s="1105"/>
      <c r="E121" s="1151"/>
      <c r="F121" s="30">
        <v>599</v>
      </c>
      <c r="G121" s="31">
        <v>584</v>
      </c>
      <c r="H121" s="31">
        <v>588</v>
      </c>
      <c r="I121" s="234">
        <v>596</v>
      </c>
      <c r="J121" s="31">
        <v>604</v>
      </c>
      <c r="K121" s="31">
        <v>601</v>
      </c>
      <c r="L121" s="31">
        <v>618</v>
      </c>
      <c r="M121" s="31">
        <v>621</v>
      </c>
      <c r="N121" s="31">
        <v>638</v>
      </c>
      <c r="O121" s="31">
        <v>634</v>
      </c>
      <c r="P121" s="234">
        <v>641</v>
      </c>
      <c r="Q121" s="32">
        <v>650</v>
      </c>
    </row>
    <row r="122" spans="1:17" s="2" customFormat="1" ht="36.6" customHeight="1" x14ac:dyDescent="0.25">
      <c r="A122" s="6"/>
      <c r="B122" s="103" t="s">
        <v>168</v>
      </c>
      <c r="C122" s="1104"/>
      <c r="D122" s="1105"/>
      <c r="E122" s="1151"/>
      <c r="F122" s="341">
        <f>SUM(F119:F120)/294460</f>
        <v>0.13040480880255384</v>
      </c>
      <c r="G122" s="340">
        <f>SUM(G119:G120)/294460</f>
        <v>0.12982408476533316</v>
      </c>
      <c r="H122" s="353">
        <f t="shared" ref="H122:Q122" si="7">SUM(H119:H120)/294460</f>
        <v>0.13167493038103648</v>
      </c>
      <c r="I122" s="353">
        <f t="shared" si="7"/>
        <v>0.14530666304421652</v>
      </c>
      <c r="J122" s="353">
        <f t="shared" si="7"/>
        <v>0.14874346260952251</v>
      </c>
      <c r="K122" s="353">
        <f t="shared" si="7"/>
        <v>0.15666304421653196</v>
      </c>
      <c r="L122" s="353">
        <f t="shared" si="7"/>
        <v>0.15967533790667662</v>
      </c>
      <c r="M122" s="353">
        <f t="shared" si="7"/>
        <v>0.16691910616042926</v>
      </c>
      <c r="N122" s="353">
        <f t="shared" si="7"/>
        <v>0.17606466073490457</v>
      </c>
      <c r="O122" s="353">
        <f t="shared" si="7"/>
        <v>0.17832642803776405</v>
      </c>
      <c r="P122" s="353">
        <f t="shared" si="7"/>
        <v>0.18036745228553963</v>
      </c>
      <c r="Q122" s="353">
        <f t="shared" si="7"/>
        <v>0.18311485430958366</v>
      </c>
    </row>
    <row r="123" spans="1:17" s="2" customFormat="1" ht="23.45" customHeight="1" x14ac:dyDescent="0.25">
      <c r="A123" s="6"/>
      <c r="B123" s="280" t="s">
        <v>57</v>
      </c>
      <c r="C123" s="261"/>
      <c r="D123" s="281"/>
      <c r="E123" s="266"/>
      <c r="F123" s="106">
        <v>288931</v>
      </c>
      <c r="G123" s="259">
        <v>273373</v>
      </c>
      <c r="H123" s="259">
        <v>266939</v>
      </c>
      <c r="I123" s="259">
        <v>291584</v>
      </c>
      <c r="J123" s="259">
        <v>293079</v>
      </c>
      <c r="K123" s="259">
        <v>351604</v>
      </c>
      <c r="L123" s="259">
        <v>310250</v>
      </c>
      <c r="M123" s="259">
        <v>332838</v>
      </c>
      <c r="N123" s="259">
        <v>332299</v>
      </c>
      <c r="O123" s="259">
        <v>320486</v>
      </c>
      <c r="P123" s="259">
        <v>335862</v>
      </c>
      <c r="Q123" s="294">
        <v>318696</v>
      </c>
    </row>
    <row r="124" spans="1:17" x14ac:dyDescent="0.3">
      <c r="A124" s="5"/>
      <c r="B124" s="1124" t="s">
        <v>88</v>
      </c>
      <c r="C124" s="1125"/>
      <c r="D124" s="1125"/>
      <c r="E124" s="1125"/>
      <c r="F124" s="1125"/>
      <c r="G124" s="1125"/>
      <c r="H124" s="1125"/>
      <c r="I124" s="1125"/>
      <c r="J124" s="1125"/>
      <c r="K124" s="1125"/>
      <c r="L124" s="1125"/>
      <c r="M124" s="1125"/>
      <c r="N124" s="1125"/>
      <c r="O124" s="1125"/>
      <c r="P124" s="1125"/>
      <c r="Q124" s="1126"/>
    </row>
    <row r="125" spans="1:17" x14ac:dyDescent="0.3">
      <c r="A125" s="5"/>
      <c r="B125" s="1116" t="s">
        <v>87</v>
      </c>
      <c r="C125" s="1117"/>
      <c r="D125" s="1117"/>
      <c r="E125" s="1117"/>
      <c r="F125" s="1117"/>
      <c r="G125" s="1117"/>
      <c r="H125" s="1117"/>
      <c r="I125" s="1117"/>
      <c r="J125" s="1117"/>
      <c r="K125" s="1117"/>
      <c r="L125" s="1117"/>
      <c r="M125" s="1117"/>
      <c r="N125" s="1117"/>
      <c r="O125" s="1117"/>
      <c r="P125" s="1117"/>
      <c r="Q125" s="1118"/>
    </row>
    <row r="126" spans="1:17" s="2" customFormat="1" ht="24" customHeight="1" x14ac:dyDescent="0.25">
      <c r="A126" s="6"/>
      <c r="B126" s="72" t="s">
        <v>83</v>
      </c>
      <c r="C126" s="1104"/>
      <c r="D126" s="1105"/>
      <c r="E126" s="69"/>
      <c r="F126" s="24">
        <f>SUM(F127:F128)</f>
        <v>405</v>
      </c>
      <c r="G126" s="222">
        <f t="shared" ref="G126:O126" si="8">SUM(G127:G128)</f>
        <v>402</v>
      </c>
      <c r="H126" s="222">
        <f t="shared" si="8"/>
        <v>440</v>
      </c>
      <c r="I126" s="222">
        <f t="shared" si="8"/>
        <v>475</v>
      </c>
      <c r="J126" s="222">
        <f t="shared" si="8"/>
        <v>453</v>
      </c>
      <c r="K126" s="222">
        <f t="shared" si="8"/>
        <v>457</v>
      </c>
      <c r="L126" s="222">
        <f t="shared" si="8"/>
        <v>430</v>
      </c>
      <c r="M126" s="222">
        <f t="shared" si="8"/>
        <v>421</v>
      </c>
      <c r="N126" s="222">
        <f t="shared" si="8"/>
        <v>421</v>
      </c>
      <c r="O126" s="222">
        <f t="shared" si="8"/>
        <v>405</v>
      </c>
      <c r="P126" s="222">
        <f>SUM(P127:P128)</f>
        <v>428</v>
      </c>
      <c r="Q126" s="267">
        <f>SUM(Q127:Q128)</f>
        <v>433</v>
      </c>
    </row>
    <row r="127" spans="1:17" s="2" customFormat="1" ht="24" customHeight="1" x14ac:dyDescent="0.25">
      <c r="A127" s="6"/>
      <c r="B127" s="185" t="s">
        <v>84</v>
      </c>
      <c r="C127" s="1104"/>
      <c r="D127" s="1105"/>
      <c r="E127" s="69"/>
      <c r="F127" s="43">
        <v>247</v>
      </c>
      <c r="G127" s="44">
        <v>247</v>
      </c>
      <c r="H127" s="44">
        <v>255</v>
      </c>
      <c r="I127" s="44">
        <v>278</v>
      </c>
      <c r="J127" s="44">
        <v>275</v>
      </c>
      <c r="K127" s="44">
        <v>284</v>
      </c>
      <c r="L127" s="44">
        <v>286</v>
      </c>
      <c r="M127" s="44">
        <v>286</v>
      </c>
      <c r="N127" s="44">
        <v>295</v>
      </c>
      <c r="O127" s="44">
        <v>299</v>
      </c>
      <c r="P127" s="256">
        <v>313</v>
      </c>
      <c r="Q127" s="45">
        <v>316</v>
      </c>
    </row>
    <row r="128" spans="1:17" s="2" customFormat="1" ht="24" customHeight="1" x14ac:dyDescent="0.25">
      <c r="A128" s="6"/>
      <c r="B128" s="185" t="s">
        <v>85</v>
      </c>
      <c r="C128" s="1104"/>
      <c r="D128" s="1105"/>
      <c r="E128" s="69"/>
      <c r="F128" s="43">
        <v>158</v>
      </c>
      <c r="G128" s="44">
        <v>155</v>
      </c>
      <c r="H128" s="44">
        <v>185</v>
      </c>
      <c r="I128" s="44">
        <v>197</v>
      </c>
      <c r="J128" s="44">
        <v>178</v>
      </c>
      <c r="K128" s="44">
        <v>173</v>
      </c>
      <c r="L128" s="44">
        <v>144</v>
      </c>
      <c r="M128" s="44">
        <v>135</v>
      </c>
      <c r="N128" s="44">
        <v>126</v>
      </c>
      <c r="O128" s="44">
        <v>106</v>
      </c>
      <c r="P128" s="256">
        <v>115</v>
      </c>
      <c r="Q128" s="45">
        <v>117</v>
      </c>
    </row>
    <row r="129" spans="1:17" s="2" customFormat="1" ht="24" customHeight="1" x14ac:dyDescent="0.25">
      <c r="A129" s="6"/>
      <c r="B129" s="71" t="s">
        <v>86</v>
      </c>
      <c r="C129" s="1104"/>
      <c r="D129" s="1105"/>
      <c r="E129" s="69"/>
      <c r="F129" s="106">
        <f>24853+46200+5747+4580</f>
        <v>81380</v>
      </c>
      <c r="G129" s="107">
        <f>25910+46039+8974+4399</f>
        <v>85322</v>
      </c>
      <c r="H129" s="107">
        <f>27406+51519+13523+4997</f>
        <v>97445</v>
      </c>
      <c r="I129" s="216">
        <f>35538+55069+9916+8003</f>
        <v>108526</v>
      </c>
      <c r="J129" s="216">
        <f>30101+56110+7665+8911</f>
        <v>102787</v>
      </c>
      <c r="K129" s="107">
        <f>29439+59295+11768+8255</f>
        <v>108757</v>
      </c>
      <c r="L129" s="107">
        <f>23108+57980+4680+7893</f>
        <v>93661</v>
      </c>
      <c r="M129" s="107">
        <f>25641+4278+59029+8074</f>
        <v>97022</v>
      </c>
      <c r="N129" s="107">
        <f>22085+58123+4268+9577</f>
        <v>94053</v>
      </c>
      <c r="O129" s="108">
        <f>22168+4878+61141+10553</f>
        <v>98740</v>
      </c>
      <c r="P129" s="259">
        <f>18370+8850+64865+6933</f>
        <v>99018</v>
      </c>
      <c r="Q129" s="197">
        <f>21044+5616+66532+6933</f>
        <v>100125</v>
      </c>
    </row>
    <row r="130" spans="1:17" x14ac:dyDescent="0.3">
      <c r="A130" s="5"/>
      <c r="B130" s="1116" t="s">
        <v>89</v>
      </c>
      <c r="C130" s="1117"/>
      <c r="D130" s="1117"/>
      <c r="E130" s="1117"/>
      <c r="F130" s="1117"/>
      <c r="G130" s="1117"/>
      <c r="H130" s="1117"/>
      <c r="I130" s="1117"/>
      <c r="J130" s="1117"/>
      <c r="K130" s="1117"/>
      <c r="L130" s="1117"/>
      <c r="M130" s="1117"/>
      <c r="N130" s="1117"/>
      <c r="O130" s="1117"/>
      <c r="P130" s="1117"/>
      <c r="Q130" s="1118"/>
    </row>
    <row r="131" spans="1:17" s="2" customFormat="1" ht="24" customHeight="1" x14ac:dyDescent="0.25">
      <c r="A131" s="6"/>
      <c r="B131" s="72" t="s">
        <v>90</v>
      </c>
      <c r="C131" s="1104"/>
      <c r="D131" s="1105"/>
      <c r="E131" s="69"/>
      <c r="F131" s="24">
        <v>586</v>
      </c>
      <c r="G131" s="25">
        <v>630</v>
      </c>
      <c r="H131" s="25">
        <v>653</v>
      </c>
      <c r="I131" s="25">
        <v>610</v>
      </c>
      <c r="J131" s="25">
        <v>543</v>
      </c>
      <c r="K131" s="25">
        <v>576</v>
      </c>
      <c r="L131" s="25">
        <v>477</v>
      </c>
      <c r="M131" s="25">
        <v>549</v>
      </c>
      <c r="N131" s="25">
        <v>416</v>
      </c>
      <c r="O131" s="25">
        <v>377</v>
      </c>
      <c r="P131" s="25">
        <v>293</v>
      </c>
      <c r="Q131" s="202">
        <v>359</v>
      </c>
    </row>
    <row r="132" spans="1:17" s="2" customFormat="1" ht="39.6" hidden="1" customHeight="1" x14ac:dyDescent="0.25">
      <c r="A132" s="6"/>
      <c r="B132" s="109" t="s">
        <v>91</v>
      </c>
      <c r="C132" s="1140"/>
      <c r="D132" s="1141"/>
      <c r="E132" s="69"/>
      <c r="F132" s="227" t="s">
        <v>136</v>
      </c>
      <c r="G132" s="236" t="s">
        <v>204</v>
      </c>
      <c r="H132" s="231"/>
      <c r="I132" s="231"/>
      <c r="J132" s="231"/>
      <c r="K132" s="231"/>
      <c r="L132" s="231"/>
      <c r="M132" s="231"/>
      <c r="N132" s="231"/>
      <c r="O132" s="231"/>
      <c r="P132" s="231"/>
      <c r="Q132" s="271"/>
    </row>
    <row r="133" spans="1:17" s="2" customFormat="1" ht="24" hidden="1" customHeight="1" x14ac:dyDescent="0.25">
      <c r="A133" s="6"/>
      <c r="B133" s="71" t="s">
        <v>92</v>
      </c>
      <c r="C133" s="1140"/>
      <c r="D133" s="1141"/>
      <c r="E133" s="69"/>
      <c r="F133" s="213"/>
      <c r="G133" s="196"/>
      <c r="H133" s="225"/>
      <c r="I133" s="225"/>
      <c r="J133" s="225"/>
      <c r="K133" s="225"/>
      <c r="L133" s="225"/>
      <c r="M133" s="225"/>
      <c r="N133" s="225"/>
      <c r="O133" s="225"/>
      <c r="P133" s="225"/>
      <c r="Q133" s="272"/>
    </row>
    <row r="134" spans="1:17" s="2" customFormat="1" ht="24" customHeight="1" x14ac:dyDescent="0.25">
      <c r="A134" s="6"/>
      <c r="B134" s="70" t="s">
        <v>132</v>
      </c>
      <c r="C134" s="73">
        <v>100</v>
      </c>
      <c r="D134" s="116">
        <v>83</v>
      </c>
      <c r="E134" s="169">
        <f>SUM(F134:Q134)</f>
        <v>132</v>
      </c>
      <c r="F134" s="227">
        <v>8</v>
      </c>
      <c r="G134" s="237">
        <v>15</v>
      </c>
      <c r="H134" s="358">
        <v>14</v>
      </c>
      <c r="I134" s="358">
        <v>12</v>
      </c>
      <c r="J134" s="358">
        <v>13</v>
      </c>
      <c r="K134" s="358">
        <v>12</v>
      </c>
      <c r="L134" s="195">
        <v>14</v>
      </c>
      <c r="M134" s="358">
        <v>6</v>
      </c>
      <c r="N134" s="358">
        <v>5</v>
      </c>
      <c r="O134" s="358">
        <v>7</v>
      </c>
      <c r="P134" s="195">
        <v>8</v>
      </c>
      <c r="Q134" s="398">
        <v>18</v>
      </c>
    </row>
    <row r="135" spans="1:17" s="2" customFormat="1" ht="24" customHeight="1" x14ac:dyDescent="0.25">
      <c r="A135" s="6"/>
      <c r="B135" s="118" t="s">
        <v>133</v>
      </c>
      <c r="C135" s="119">
        <v>93</v>
      </c>
      <c r="D135" s="120">
        <v>49</v>
      </c>
      <c r="E135" s="170">
        <f>SUM(F135:Q135)</f>
        <v>220</v>
      </c>
      <c r="F135" s="339" t="s">
        <v>136</v>
      </c>
      <c r="G135" s="238">
        <v>21</v>
      </c>
      <c r="H135" s="238">
        <v>31</v>
      </c>
      <c r="I135" s="238">
        <v>27</v>
      </c>
      <c r="J135" s="238">
        <v>21</v>
      </c>
      <c r="K135" s="238">
        <v>29</v>
      </c>
      <c r="L135" s="238">
        <v>19</v>
      </c>
      <c r="M135" s="238">
        <v>17</v>
      </c>
      <c r="N135" s="238">
        <v>11</v>
      </c>
      <c r="O135" s="238">
        <v>10</v>
      </c>
      <c r="P135" s="397">
        <v>18</v>
      </c>
      <c r="Q135" s="399">
        <v>16</v>
      </c>
    </row>
    <row r="136" spans="1:17" x14ac:dyDescent="0.3">
      <c r="A136" s="5"/>
      <c r="B136" s="1098" t="s">
        <v>93</v>
      </c>
      <c r="C136" s="1099"/>
      <c r="D136" s="1099"/>
      <c r="E136" s="1099"/>
      <c r="F136" s="1099"/>
      <c r="G136" s="1099"/>
      <c r="H136" s="1099"/>
      <c r="I136" s="1099"/>
      <c r="J136" s="1099"/>
      <c r="K136" s="1099"/>
      <c r="L136" s="1099"/>
      <c r="M136" s="1099"/>
      <c r="N136" s="1099"/>
      <c r="O136" s="1099"/>
      <c r="P136" s="1099"/>
      <c r="Q136" s="1100"/>
    </row>
    <row r="137" spans="1:17" x14ac:dyDescent="0.3">
      <c r="A137" s="5"/>
      <c r="B137" s="1124" t="s">
        <v>94</v>
      </c>
      <c r="C137" s="1125"/>
      <c r="D137" s="1125"/>
      <c r="E137" s="1125"/>
      <c r="F137" s="1125"/>
      <c r="G137" s="1125"/>
      <c r="H137" s="1125"/>
      <c r="I137" s="1125"/>
      <c r="J137" s="1125"/>
      <c r="K137" s="1125"/>
      <c r="L137" s="1125"/>
      <c r="M137" s="1125"/>
      <c r="N137" s="1125"/>
      <c r="O137" s="1125"/>
      <c r="P137" s="1125"/>
      <c r="Q137" s="1126"/>
    </row>
    <row r="138" spans="1:17" s="2" customFormat="1" ht="24" customHeight="1" x14ac:dyDescent="0.25">
      <c r="A138" s="6"/>
      <c r="B138" s="72" t="s">
        <v>125</v>
      </c>
      <c r="C138" s="124">
        <v>448296</v>
      </c>
      <c r="D138" s="125">
        <v>481916.58</v>
      </c>
      <c r="E138" s="192">
        <f>SUM(F138:Q138)</f>
        <v>746485.88000000012</v>
      </c>
      <c r="F138" s="295">
        <f>SUM(F139:F144)</f>
        <v>51877.72</v>
      </c>
      <c r="G138" s="221">
        <f t="shared" ref="G138:Q138" si="9">SUM(G139:G144)</f>
        <v>42112.23</v>
      </c>
      <c r="H138" s="221">
        <f t="shared" si="9"/>
        <v>35693.449999999997</v>
      </c>
      <c r="I138" s="221">
        <f t="shared" si="9"/>
        <v>38033.74</v>
      </c>
      <c r="J138" s="221">
        <f t="shared" si="9"/>
        <v>47189.24</v>
      </c>
      <c r="K138" s="221">
        <f t="shared" si="9"/>
        <v>49772.34</v>
      </c>
      <c r="L138" s="221">
        <f t="shared" si="9"/>
        <v>34278.400000000001</v>
      </c>
      <c r="M138" s="221">
        <f t="shared" si="9"/>
        <v>64283.020000000004</v>
      </c>
      <c r="N138" s="221">
        <f t="shared" si="9"/>
        <v>178581.12</v>
      </c>
      <c r="O138" s="221">
        <f t="shared" si="9"/>
        <v>94533.26999999999</v>
      </c>
      <c r="P138" s="221">
        <f t="shared" si="9"/>
        <v>59451.81</v>
      </c>
      <c r="Q138" s="274">
        <f t="shared" si="9"/>
        <v>50679.539999999994</v>
      </c>
    </row>
    <row r="139" spans="1:17" s="2" customFormat="1" ht="24" customHeight="1" x14ac:dyDescent="0.25">
      <c r="A139" s="6"/>
      <c r="B139" s="191" t="s">
        <v>126</v>
      </c>
      <c r="C139" s="124">
        <v>8290</v>
      </c>
      <c r="D139" s="125">
        <v>6080</v>
      </c>
      <c r="E139" s="192">
        <f t="shared" ref="E139:E144" si="10">SUM(F139:Q139)</f>
        <v>7722.46</v>
      </c>
      <c r="F139" s="126">
        <v>365</v>
      </c>
      <c r="G139" s="127">
        <v>240</v>
      </c>
      <c r="H139" s="127">
        <v>140</v>
      </c>
      <c r="I139" s="127">
        <v>190</v>
      </c>
      <c r="J139" s="127">
        <v>365</v>
      </c>
      <c r="K139" s="127">
        <v>165</v>
      </c>
      <c r="L139" s="127">
        <v>190</v>
      </c>
      <c r="M139" s="127">
        <v>887</v>
      </c>
      <c r="N139" s="127">
        <v>981</v>
      </c>
      <c r="O139" s="127">
        <v>3121.43</v>
      </c>
      <c r="P139" s="221">
        <v>567.03</v>
      </c>
      <c r="Q139" s="128">
        <v>511</v>
      </c>
    </row>
    <row r="140" spans="1:17" s="2" customFormat="1" ht="24" customHeight="1" x14ac:dyDescent="0.25">
      <c r="A140" s="6"/>
      <c r="B140" s="185" t="s">
        <v>127</v>
      </c>
      <c r="C140" s="130">
        <v>406981</v>
      </c>
      <c r="D140" s="131">
        <v>449180.11</v>
      </c>
      <c r="E140" s="193">
        <f t="shared" si="10"/>
        <v>687338.45000000007</v>
      </c>
      <c r="F140" s="132">
        <v>47777.120000000003</v>
      </c>
      <c r="G140" s="133">
        <v>36366.230000000003</v>
      </c>
      <c r="H140" s="133">
        <v>34106.449999999997</v>
      </c>
      <c r="I140" s="133">
        <v>32624.68</v>
      </c>
      <c r="J140" s="133">
        <v>43028.24</v>
      </c>
      <c r="K140" s="133">
        <v>41728.339999999997</v>
      </c>
      <c r="L140" s="133">
        <v>33111.4</v>
      </c>
      <c r="M140" s="133">
        <v>60890.400000000001</v>
      </c>
      <c r="N140" s="134">
        <v>170774.06</v>
      </c>
      <c r="O140" s="133">
        <v>84811.66</v>
      </c>
      <c r="P140" s="257">
        <v>57088.24</v>
      </c>
      <c r="Q140" s="135">
        <v>45031.63</v>
      </c>
    </row>
    <row r="141" spans="1:17" s="2" customFormat="1" ht="24" customHeight="1" x14ac:dyDescent="0.25">
      <c r="A141" s="6"/>
      <c r="B141" s="185" t="s">
        <v>128</v>
      </c>
      <c r="C141" s="130">
        <v>17109</v>
      </c>
      <c r="D141" s="131">
        <v>11387.47</v>
      </c>
      <c r="E141" s="193">
        <f t="shared" si="10"/>
        <v>15257.310000000001</v>
      </c>
      <c r="F141" s="132">
        <v>600</v>
      </c>
      <c r="G141" s="133">
        <v>560</v>
      </c>
      <c r="H141" s="133">
        <v>600</v>
      </c>
      <c r="I141" s="133">
        <v>560</v>
      </c>
      <c r="J141" s="133">
        <v>500</v>
      </c>
      <c r="K141" s="133">
        <v>625</v>
      </c>
      <c r="L141" s="133">
        <v>680</v>
      </c>
      <c r="M141" s="133">
        <v>1277.6199999999999</v>
      </c>
      <c r="N141" s="133">
        <v>1757.06</v>
      </c>
      <c r="O141" s="133">
        <v>2547.1799999999998</v>
      </c>
      <c r="P141" s="257">
        <v>1671.54</v>
      </c>
      <c r="Q141" s="135">
        <v>3878.91</v>
      </c>
    </row>
    <row r="142" spans="1:17" s="2" customFormat="1" ht="24" customHeight="1" x14ac:dyDescent="0.25">
      <c r="A142" s="6"/>
      <c r="B142" s="185" t="s">
        <v>129</v>
      </c>
      <c r="C142" s="130">
        <v>10097</v>
      </c>
      <c r="D142" s="131">
        <v>15272</v>
      </c>
      <c r="E142" s="193">
        <f t="shared" si="10"/>
        <v>35917.660000000003</v>
      </c>
      <c r="F142" s="132">
        <v>3135.6</v>
      </c>
      <c r="G142" s="133">
        <v>4946</v>
      </c>
      <c r="H142" s="133">
        <v>847</v>
      </c>
      <c r="I142" s="133">
        <v>4659.0600000000004</v>
      </c>
      <c r="J142" s="133">
        <v>3296</v>
      </c>
      <c r="K142" s="133">
        <v>7254</v>
      </c>
      <c r="L142" s="133">
        <v>297</v>
      </c>
      <c r="M142" s="133">
        <v>1228</v>
      </c>
      <c r="N142" s="133">
        <v>5069</v>
      </c>
      <c r="O142" s="133">
        <v>4053</v>
      </c>
      <c r="P142" s="257">
        <v>0</v>
      </c>
      <c r="Q142" s="135">
        <v>1133</v>
      </c>
    </row>
    <row r="143" spans="1:17" s="2" customFormat="1" ht="24" customHeight="1" x14ac:dyDescent="0.25">
      <c r="A143" s="6"/>
      <c r="B143" s="185" t="s">
        <v>130</v>
      </c>
      <c r="C143" s="130">
        <v>5526</v>
      </c>
      <c r="D143" s="131">
        <v>0</v>
      </c>
      <c r="E143" s="193">
        <f t="shared" si="10"/>
        <v>250</v>
      </c>
      <c r="F143" s="132">
        <v>0</v>
      </c>
      <c r="G143" s="133">
        <v>0</v>
      </c>
      <c r="H143" s="133">
        <v>0</v>
      </c>
      <c r="I143" s="133">
        <v>0</v>
      </c>
      <c r="J143" s="133">
        <v>0</v>
      </c>
      <c r="K143" s="133">
        <v>0</v>
      </c>
      <c r="L143" s="133">
        <v>0</v>
      </c>
      <c r="M143" s="133">
        <v>0</v>
      </c>
      <c r="N143" s="133">
        <v>0</v>
      </c>
      <c r="O143" s="133">
        <v>0</v>
      </c>
      <c r="P143" s="257">
        <v>125</v>
      </c>
      <c r="Q143" s="135">
        <v>125</v>
      </c>
    </row>
    <row r="144" spans="1:17" s="2" customFormat="1" ht="24" customHeight="1" x14ac:dyDescent="0.25">
      <c r="A144" s="6"/>
      <c r="B144" s="188" t="s">
        <v>131</v>
      </c>
      <c r="C144" s="136">
        <v>293</v>
      </c>
      <c r="D144" s="137">
        <v>0</v>
      </c>
      <c r="E144" s="194">
        <f t="shared" si="10"/>
        <v>0</v>
      </c>
      <c r="F144" s="138">
        <v>0</v>
      </c>
      <c r="G144" s="139">
        <v>0</v>
      </c>
      <c r="H144" s="139">
        <v>0</v>
      </c>
      <c r="I144" s="139">
        <v>0</v>
      </c>
      <c r="J144" s="139">
        <v>0</v>
      </c>
      <c r="K144" s="139">
        <v>0</v>
      </c>
      <c r="L144" s="139">
        <v>0</v>
      </c>
      <c r="M144" s="139">
        <v>0</v>
      </c>
      <c r="N144" s="139">
        <v>0</v>
      </c>
      <c r="O144" s="139">
        <v>0</v>
      </c>
      <c r="P144" s="258">
        <v>0</v>
      </c>
      <c r="Q144" s="140">
        <v>0</v>
      </c>
    </row>
    <row r="145" spans="1:17" x14ac:dyDescent="0.3">
      <c r="A145" s="5"/>
      <c r="B145" s="1124" t="s">
        <v>95</v>
      </c>
      <c r="C145" s="1125"/>
      <c r="D145" s="1125"/>
      <c r="E145" s="1125"/>
      <c r="F145" s="1125"/>
      <c r="G145" s="1125"/>
      <c r="H145" s="1125"/>
      <c r="I145" s="1125"/>
      <c r="J145" s="1125"/>
      <c r="K145" s="1125"/>
      <c r="L145" s="1125"/>
      <c r="M145" s="1125"/>
      <c r="N145" s="1125"/>
      <c r="O145" s="1125"/>
      <c r="P145" s="1125"/>
      <c r="Q145" s="1126"/>
    </row>
    <row r="146" spans="1:17" s="2" customFormat="1" ht="24" customHeight="1" x14ac:dyDescent="0.25">
      <c r="A146" s="6"/>
      <c r="B146" s="72" t="s">
        <v>96</v>
      </c>
      <c r="C146" s="73">
        <v>106647</v>
      </c>
      <c r="D146" s="40">
        <v>79280</v>
      </c>
      <c r="E146" s="159">
        <f>SUM(F146:Q146)</f>
        <v>109666</v>
      </c>
      <c r="F146" s="74">
        <f>SUM(F147:F148)</f>
        <v>8268</v>
      </c>
      <c r="G146" s="224">
        <f t="shared" ref="G146:O146" si="11">SUM(G147:G148)</f>
        <v>8765</v>
      </c>
      <c r="H146" s="224">
        <f t="shared" si="11"/>
        <v>8790</v>
      </c>
      <c r="I146" s="224">
        <f t="shared" si="11"/>
        <v>8404</v>
      </c>
      <c r="J146" s="224">
        <f t="shared" si="11"/>
        <v>8337</v>
      </c>
      <c r="K146" s="224">
        <f t="shared" si="11"/>
        <v>8831</v>
      </c>
      <c r="L146" s="224">
        <f t="shared" si="11"/>
        <v>9285</v>
      </c>
      <c r="M146" s="224">
        <f t="shared" si="11"/>
        <v>8788</v>
      </c>
      <c r="N146" s="224">
        <f t="shared" si="11"/>
        <v>10540</v>
      </c>
      <c r="O146" s="224">
        <f t="shared" si="11"/>
        <v>9456</v>
      </c>
      <c r="P146" s="222">
        <f>SUM(P147:P148)</f>
        <v>9792</v>
      </c>
      <c r="Q146" s="267">
        <f>SUM(Q147:Q148)</f>
        <v>10410</v>
      </c>
    </row>
    <row r="147" spans="1:17" s="2" customFormat="1" ht="24" customHeight="1" x14ac:dyDescent="0.25">
      <c r="A147" s="6"/>
      <c r="B147" s="191" t="s">
        <v>97</v>
      </c>
      <c r="C147" s="73">
        <v>98076</v>
      </c>
      <c r="D147" s="40">
        <v>71777</v>
      </c>
      <c r="E147" s="159">
        <f>SUM(F147:Q147)</f>
        <v>101569</v>
      </c>
      <c r="F147" s="74">
        <f>799+410+386+83+2271+240+7+46+68+826+710+251+151+1424+94</f>
        <v>7766</v>
      </c>
      <c r="G147" s="224">
        <f>1+348+772+452+212+2275+263+4+23+7+44+842+856+256+130+1589+82</f>
        <v>8156</v>
      </c>
      <c r="H147" s="224">
        <f>803+426+398+533+2325+225+5+26+42+35+855+834+208+94+1478</f>
        <v>8287</v>
      </c>
      <c r="I147" s="224">
        <f>6+388+800+249+238+354+696+501+2580+214+27+8+38+848+10+751</f>
        <v>7708</v>
      </c>
      <c r="J147" s="224">
        <f>91+210+732+341+356+411+2390+236+4583-2593+723</f>
        <v>7480</v>
      </c>
      <c r="K147" s="224">
        <f>1+113+250+686+355+395+426+2908+280+30+28+5076-3042+643</f>
        <v>8149</v>
      </c>
      <c r="L147" s="224">
        <f>110+236+699+320+377+495+3446+252+37+20+26+143+822+64+929+18+27+621</f>
        <v>8642</v>
      </c>
      <c r="M147" s="224">
        <f>2+14+119+477+190+323+596+408+2783+235+756+48+31+18+503+828+542</f>
        <v>7873</v>
      </c>
      <c r="N147" s="224">
        <f>306+1309+465+2426+201+2376+58+18+34+9+1878+551</f>
        <v>9631</v>
      </c>
      <c r="O147" s="224">
        <f>314+1276+446+2227+202+2007+60+24+41+1906+428</f>
        <v>8931</v>
      </c>
      <c r="P147" s="222">
        <f>324+1305+427+2+2279+229+2064+32+53+74+1946+453</f>
        <v>9188</v>
      </c>
      <c r="Q147" s="267">
        <f>363+1312+498+256+2066+265+2299+32+44+48+2044+531</f>
        <v>9758</v>
      </c>
    </row>
    <row r="148" spans="1:17" s="2" customFormat="1" ht="24" customHeight="1" x14ac:dyDescent="0.25">
      <c r="A148" s="6"/>
      <c r="B148" s="185" t="s">
        <v>134</v>
      </c>
      <c r="C148" s="77">
        <v>8571</v>
      </c>
      <c r="D148" s="42">
        <v>7503</v>
      </c>
      <c r="E148" s="163">
        <f>SUM(F148:Q148)</f>
        <v>8097</v>
      </c>
      <c r="F148" s="78">
        <f>466+36</f>
        <v>502</v>
      </c>
      <c r="G148" s="218">
        <v>609</v>
      </c>
      <c r="H148" s="218">
        <v>503</v>
      </c>
      <c r="I148" s="218">
        <v>696</v>
      </c>
      <c r="J148" s="218">
        <v>857</v>
      </c>
      <c r="K148" s="218">
        <v>682</v>
      </c>
      <c r="L148" s="218">
        <v>643</v>
      </c>
      <c r="M148" s="218">
        <v>915</v>
      </c>
      <c r="N148" s="218">
        <v>909</v>
      </c>
      <c r="O148" s="218">
        <v>525</v>
      </c>
      <c r="P148" s="256">
        <v>604</v>
      </c>
      <c r="Q148" s="275">
        <v>652</v>
      </c>
    </row>
    <row r="149" spans="1:17" s="2" customFormat="1" ht="24" customHeight="1" x14ac:dyDescent="0.25">
      <c r="A149" s="6"/>
      <c r="B149" s="70" t="s">
        <v>135</v>
      </c>
      <c r="C149" s="77">
        <v>191755</v>
      </c>
      <c r="D149" s="42">
        <v>195104</v>
      </c>
      <c r="E149" s="163">
        <f>SUM(F149:Q149)</f>
        <v>210862</v>
      </c>
      <c r="F149" s="78">
        <v>15742</v>
      </c>
      <c r="G149" s="218">
        <v>17628</v>
      </c>
      <c r="H149" s="218">
        <v>20341</v>
      </c>
      <c r="I149" s="218">
        <v>19650</v>
      </c>
      <c r="J149" s="218">
        <v>17147</v>
      </c>
      <c r="K149" s="218">
        <v>18290</v>
      </c>
      <c r="L149" s="218">
        <v>18130</v>
      </c>
      <c r="M149" s="218">
        <v>16812</v>
      </c>
      <c r="N149" s="218">
        <v>16657</v>
      </c>
      <c r="O149" s="218">
        <v>16371</v>
      </c>
      <c r="P149" s="256">
        <v>16349</v>
      </c>
      <c r="Q149" s="275">
        <v>17745</v>
      </c>
    </row>
    <row r="150" spans="1:17" s="2" customFormat="1" ht="24" customHeight="1" x14ac:dyDescent="0.25">
      <c r="A150" s="6"/>
      <c r="B150" s="185" t="s">
        <v>98</v>
      </c>
      <c r="C150" s="77">
        <v>190196</v>
      </c>
      <c r="D150" s="42">
        <v>193034</v>
      </c>
      <c r="E150" s="163">
        <f>SUM(F150:Q150)</f>
        <v>208429</v>
      </c>
      <c r="F150" s="81">
        <v>15577</v>
      </c>
      <c r="G150" s="219">
        <v>17445</v>
      </c>
      <c r="H150" s="219">
        <v>20112</v>
      </c>
      <c r="I150" s="219">
        <v>19522</v>
      </c>
      <c r="J150" s="219">
        <v>17047</v>
      </c>
      <c r="K150" s="219">
        <v>18131</v>
      </c>
      <c r="L150" s="219">
        <v>18001</v>
      </c>
      <c r="M150" s="219">
        <v>16697</v>
      </c>
      <c r="N150" s="219">
        <v>16545</v>
      </c>
      <c r="O150" s="219">
        <v>16245</v>
      </c>
      <c r="P150" s="234">
        <v>16216</v>
      </c>
      <c r="Q150" s="276">
        <v>16891</v>
      </c>
    </row>
    <row r="151" spans="1:17" s="2" customFormat="1" ht="24" customHeight="1" x14ac:dyDescent="0.25">
      <c r="A151" s="6"/>
      <c r="B151" s="188" t="s">
        <v>118</v>
      </c>
      <c r="C151" s="141">
        <v>0.9919</v>
      </c>
      <c r="D151" s="142">
        <v>0.98939999999999995</v>
      </c>
      <c r="E151" s="174">
        <f>E150/E149</f>
        <v>0.98846164790241964</v>
      </c>
      <c r="F151" s="113">
        <f t="shared" ref="F151:Q151" si="12">F150/F149</f>
        <v>0.98951848557997713</v>
      </c>
      <c r="G151" s="348">
        <f t="shared" si="12"/>
        <v>0.98961878829135463</v>
      </c>
      <c r="H151" s="233">
        <f t="shared" si="12"/>
        <v>0.98874194975664909</v>
      </c>
      <c r="I151" s="233">
        <f t="shared" si="12"/>
        <v>0.99348600508905849</v>
      </c>
      <c r="J151" s="233">
        <f>J150/J149</f>
        <v>0.99416807604828838</v>
      </c>
      <c r="K151" s="233">
        <f t="shared" si="12"/>
        <v>0.99130672498633132</v>
      </c>
      <c r="L151" s="233">
        <f t="shared" si="12"/>
        <v>0.99288472145615003</v>
      </c>
      <c r="M151" s="233">
        <f t="shared" si="12"/>
        <v>0.99315964787056865</v>
      </c>
      <c r="N151" s="233">
        <f t="shared" si="12"/>
        <v>0.9932761001380801</v>
      </c>
      <c r="O151" s="233">
        <f t="shared" si="12"/>
        <v>0.99230346344145137</v>
      </c>
      <c r="P151" s="233">
        <f t="shared" si="12"/>
        <v>0.9918649458682488</v>
      </c>
      <c r="Q151" s="277">
        <f t="shared" si="12"/>
        <v>0.95187376725838269</v>
      </c>
    </row>
    <row r="152" spans="1:17" x14ac:dyDescent="0.3">
      <c r="A152" s="5"/>
      <c r="B152" s="1124" t="s">
        <v>99</v>
      </c>
      <c r="C152" s="1125"/>
      <c r="D152" s="1125"/>
      <c r="E152" s="1125"/>
      <c r="F152" s="1125"/>
      <c r="G152" s="1125"/>
      <c r="H152" s="1125"/>
      <c r="I152" s="1125"/>
      <c r="J152" s="1125"/>
      <c r="K152" s="1125"/>
      <c r="L152" s="1125"/>
      <c r="M152" s="1125"/>
      <c r="N152" s="1125"/>
      <c r="O152" s="1125"/>
      <c r="P152" s="1125"/>
      <c r="Q152" s="1126"/>
    </row>
    <row r="153" spans="1:17" s="2" customFormat="1" ht="24" customHeight="1" x14ac:dyDescent="0.25">
      <c r="A153" s="6"/>
      <c r="B153" s="72" t="s">
        <v>106</v>
      </c>
      <c r="C153" s="61">
        <v>2619</v>
      </c>
      <c r="D153" s="62">
        <v>2853</v>
      </c>
      <c r="E153" s="161">
        <f>SUM(F153:Q153)</f>
        <v>2331</v>
      </c>
      <c r="F153" s="24">
        <f>SUM(F154:F159)</f>
        <v>197</v>
      </c>
      <c r="G153" s="222">
        <f t="shared" ref="G153:O153" si="13">SUM(G154:G159)</f>
        <v>146</v>
      </c>
      <c r="H153" s="222">
        <f t="shared" si="13"/>
        <v>178</v>
      </c>
      <c r="I153" s="222">
        <f t="shared" si="13"/>
        <v>76</v>
      </c>
      <c r="J153" s="222">
        <f t="shared" si="13"/>
        <v>248</v>
      </c>
      <c r="K153" s="222">
        <f t="shared" si="13"/>
        <v>114</v>
      </c>
      <c r="L153" s="222">
        <f t="shared" si="13"/>
        <v>185</v>
      </c>
      <c r="M153" s="222">
        <f t="shared" si="13"/>
        <v>427</v>
      </c>
      <c r="N153" s="222">
        <f t="shared" si="13"/>
        <v>351</v>
      </c>
      <c r="O153" s="222">
        <f t="shared" si="13"/>
        <v>130</v>
      </c>
      <c r="P153" s="222">
        <f>SUM(P154:P159)</f>
        <v>155</v>
      </c>
      <c r="Q153" s="267">
        <f>SUM(Q154:Q159)</f>
        <v>124</v>
      </c>
    </row>
    <row r="154" spans="1:17" s="2" customFormat="1" ht="36" customHeight="1" x14ac:dyDescent="0.25">
      <c r="A154" s="6"/>
      <c r="B154" s="183" t="s">
        <v>100</v>
      </c>
      <c r="C154" s="51">
        <v>523</v>
      </c>
      <c r="D154" s="52">
        <v>575</v>
      </c>
      <c r="E154" s="162">
        <f t="shared" ref="E154:E159" si="14">SUM(F154:Q154)</f>
        <v>630</v>
      </c>
      <c r="F154" s="43">
        <v>22</v>
      </c>
      <c r="G154" s="44">
        <v>12</v>
      </c>
      <c r="H154" s="44">
        <v>28</v>
      </c>
      <c r="I154" s="44">
        <v>17</v>
      </c>
      <c r="J154" s="44">
        <v>30</v>
      </c>
      <c r="K154" s="44">
        <v>0</v>
      </c>
      <c r="L154" s="44">
        <v>10</v>
      </c>
      <c r="M154" s="44">
        <v>264</v>
      </c>
      <c r="N154" s="44">
        <v>215</v>
      </c>
      <c r="O154" s="44">
        <v>17</v>
      </c>
      <c r="P154" s="44">
        <v>3</v>
      </c>
      <c r="Q154" s="45">
        <v>12</v>
      </c>
    </row>
    <row r="155" spans="1:17" s="2" customFormat="1" ht="32.1" customHeight="1" x14ac:dyDescent="0.25">
      <c r="A155" s="6"/>
      <c r="B155" s="183" t="s">
        <v>101</v>
      </c>
      <c r="C155" s="51">
        <v>0</v>
      </c>
      <c r="D155" s="52">
        <v>0</v>
      </c>
      <c r="E155" s="162">
        <f t="shared" si="14"/>
        <v>0</v>
      </c>
      <c r="F155" s="43">
        <v>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5">
        <v>0</v>
      </c>
    </row>
    <row r="156" spans="1:17" s="2" customFormat="1" ht="33.6" customHeight="1" x14ac:dyDescent="0.25">
      <c r="A156" s="6"/>
      <c r="B156" s="183" t="s">
        <v>102</v>
      </c>
      <c r="C156" s="51">
        <v>410</v>
      </c>
      <c r="D156" s="52">
        <v>222</v>
      </c>
      <c r="E156" s="162">
        <f t="shared" si="14"/>
        <v>45</v>
      </c>
      <c r="F156" s="43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44">
        <v>0</v>
      </c>
      <c r="Q156" s="45">
        <v>45</v>
      </c>
    </row>
    <row r="157" spans="1:17" s="2" customFormat="1" ht="29.45" customHeight="1" x14ac:dyDescent="0.25">
      <c r="A157" s="6"/>
      <c r="B157" s="183" t="s">
        <v>103</v>
      </c>
      <c r="C157" s="51">
        <v>910</v>
      </c>
      <c r="D157" s="52">
        <v>843</v>
      </c>
      <c r="E157" s="162">
        <f t="shared" si="14"/>
        <v>535</v>
      </c>
      <c r="F157" s="43">
        <v>62</v>
      </c>
      <c r="G157" s="44">
        <v>22</v>
      </c>
      <c r="H157" s="44">
        <v>60</v>
      </c>
      <c r="I157" s="44">
        <v>6</v>
      </c>
      <c r="J157" s="44">
        <v>107</v>
      </c>
      <c r="K157" s="44">
        <v>29</v>
      </c>
      <c r="L157" s="44">
        <v>46</v>
      </c>
      <c r="M157" s="44">
        <v>28</v>
      </c>
      <c r="N157" s="44">
        <v>36</v>
      </c>
      <c r="O157" s="44">
        <v>42</v>
      </c>
      <c r="P157" s="44">
        <v>88</v>
      </c>
      <c r="Q157" s="45">
        <v>9</v>
      </c>
    </row>
    <row r="158" spans="1:17" s="2" customFormat="1" ht="24" customHeight="1" x14ac:dyDescent="0.25">
      <c r="A158" s="6"/>
      <c r="B158" s="185" t="s">
        <v>104</v>
      </c>
      <c r="C158" s="51">
        <v>428</v>
      </c>
      <c r="D158" s="52">
        <v>1065</v>
      </c>
      <c r="E158" s="162">
        <f t="shared" si="14"/>
        <v>726</v>
      </c>
      <c r="F158" s="43">
        <v>90</v>
      </c>
      <c r="G158" s="44">
        <v>68</v>
      </c>
      <c r="H158" s="44">
        <v>73</v>
      </c>
      <c r="I158" s="44">
        <v>26</v>
      </c>
      <c r="J158" s="44">
        <v>81</v>
      </c>
      <c r="K158" s="44">
        <v>85</v>
      </c>
      <c r="L158" s="44">
        <v>76</v>
      </c>
      <c r="M158" s="44">
        <v>77</v>
      </c>
      <c r="N158" s="44">
        <v>49</v>
      </c>
      <c r="O158" s="44">
        <v>27</v>
      </c>
      <c r="P158" s="44">
        <v>16</v>
      </c>
      <c r="Q158" s="45">
        <v>58</v>
      </c>
    </row>
    <row r="159" spans="1:17" s="2" customFormat="1" ht="24" customHeight="1" x14ac:dyDescent="0.25">
      <c r="A159" s="6"/>
      <c r="B159" s="189" t="s">
        <v>105</v>
      </c>
      <c r="C159" s="64">
        <v>348</v>
      </c>
      <c r="D159" s="65">
        <v>148</v>
      </c>
      <c r="E159" s="165">
        <f t="shared" si="14"/>
        <v>395</v>
      </c>
      <c r="F159" s="66">
        <v>23</v>
      </c>
      <c r="G159" s="67">
        <v>44</v>
      </c>
      <c r="H159" s="67">
        <v>17</v>
      </c>
      <c r="I159" s="67">
        <v>27</v>
      </c>
      <c r="J159" s="67">
        <v>30</v>
      </c>
      <c r="K159" s="67">
        <v>0</v>
      </c>
      <c r="L159" s="67">
        <v>53</v>
      </c>
      <c r="M159" s="67">
        <v>58</v>
      </c>
      <c r="N159" s="67">
        <v>51</v>
      </c>
      <c r="O159" s="67">
        <v>44</v>
      </c>
      <c r="P159" s="67">
        <v>48</v>
      </c>
      <c r="Q159" s="68">
        <v>0</v>
      </c>
    </row>
    <row r="160" spans="1:17" x14ac:dyDescent="0.3">
      <c r="A160" s="5"/>
      <c r="B160" s="1098" t="s">
        <v>107</v>
      </c>
      <c r="C160" s="1099"/>
      <c r="D160" s="1099"/>
      <c r="E160" s="1099"/>
      <c r="F160" s="1099"/>
      <c r="G160" s="1099"/>
      <c r="H160" s="1099"/>
      <c r="I160" s="1099"/>
      <c r="J160" s="1099"/>
      <c r="K160" s="1099"/>
      <c r="L160" s="1099"/>
      <c r="M160" s="1099"/>
      <c r="N160" s="1099"/>
      <c r="O160" s="1099"/>
      <c r="P160" s="1099"/>
      <c r="Q160" s="1100"/>
    </row>
    <row r="161" spans="1:18" s="2" customFormat="1" ht="24" customHeight="1" x14ac:dyDescent="0.25">
      <c r="A161" s="6"/>
      <c r="B161" s="72" t="s">
        <v>124</v>
      </c>
      <c r="C161" s="144">
        <v>16720003</v>
      </c>
      <c r="D161" s="145">
        <v>17057198</v>
      </c>
      <c r="E161" s="177">
        <f>SUM(F161:Q161)</f>
        <v>17365522.329999998</v>
      </c>
      <c r="F161" s="212">
        <v>1466120.41</v>
      </c>
      <c r="G161" s="230">
        <v>1365836</v>
      </c>
      <c r="H161" s="235">
        <v>1345257.56</v>
      </c>
      <c r="I161" s="235">
        <v>1415999.96</v>
      </c>
      <c r="J161" s="235">
        <v>1351130.25</v>
      </c>
      <c r="K161" s="235">
        <v>1448293.85</v>
      </c>
      <c r="L161" s="235">
        <v>1269968</v>
      </c>
      <c r="M161" s="235">
        <v>1410357.22</v>
      </c>
      <c r="N161" s="235">
        <v>1779708.07</v>
      </c>
      <c r="O161" s="235">
        <v>1513256.65</v>
      </c>
      <c r="P161" s="255">
        <v>1481399.7</v>
      </c>
      <c r="Q161" s="268">
        <v>1518194.66</v>
      </c>
    </row>
    <row r="162" spans="1:18" x14ac:dyDescent="0.3">
      <c r="A162" s="5"/>
      <c r="B162" s="1143"/>
      <c r="C162" s="1144"/>
      <c r="D162" s="1144"/>
      <c r="E162" s="1144"/>
      <c r="F162" s="1144"/>
      <c r="G162" s="1144"/>
      <c r="H162" s="1144"/>
      <c r="I162" s="1144"/>
      <c r="J162" s="1144"/>
      <c r="K162" s="1144"/>
      <c r="L162" s="1144"/>
      <c r="M162" s="1144"/>
      <c r="N162" s="1144"/>
      <c r="O162" s="1144"/>
      <c r="P162" s="1144"/>
      <c r="Q162" s="1145"/>
    </row>
    <row r="163" spans="1:18" x14ac:dyDescent="0.3">
      <c r="A163" s="5"/>
      <c r="B163" s="1146" t="s">
        <v>108</v>
      </c>
      <c r="C163" s="1147"/>
      <c r="D163" s="1147"/>
      <c r="E163" s="1147"/>
      <c r="F163" s="1147"/>
      <c r="G163" s="1147"/>
      <c r="H163" s="1147"/>
      <c r="I163" s="1147"/>
      <c r="J163" s="1147"/>
      <c r="K163" s="1147"/>
      <c r="L163" s="1147"/>
      <c r="M163" s="1147"/>
      <c r="N163" s="1147"/>
      <c r="O163" s="1147"/>
      <c r="P163" s="1147"/>
      <c r="Q163" s="1148"/>
    </row>
    <row r="164" spans="1:18" s="2" customFormat="1" ht="24" customHeight="1" x14ac:dyDescent="0.25">
      <c r="A164" s="6"/>
      <c r="B164" s="149" t="s">
        <v>109</v>
      </c>
      <c r="C164" s="1149"/>
      <c r="D164" s="1150"/>
      <c r="E164" s="1152"/>
      <c r="F164" s="206">
        <v>94844</v>
      </c>
      <c r="G164" s="349" t="s">
        <v>136</v>
      </c>
      <c r="H164" s="207">
        <v>113782</v>
      </c>
      <c r="I164" s="207">
        <v>113832</v>
      </c>
      <c r="J164" s="349" t="s">
        <v>136</v>
      </c>
      <c r="K164" s="207">
        <v>113995</v>
      </c>
      <c r="L164" s="207">
        <v>113903</v>
      </c>
      <c r="M164" s="207">
        <v>113884</v>
      </c>
      <c r="N164" s="207">
        <v>113858</v>
      </c>
      <c r="O164" s="207">
        <v>113897</v>
      </c>
      <c r="P164" s="207">
        <v>113969</v>
      </c>
      <c r="Q164" s="208">
        <v>114094</v>
      </c>
    </row>
    <row r="165" spans="1:18" ht="37.5" x14ac:dyDescent="0.3">
      <c r="A165" s="8"/>
      <c r="B165" s="152" t="s">
        <v>167</v>
      </c>
      <c r="C165" s="1127"/>
      <c r="D165" s="1128"/>
      <c r="E165" s="1153"/>
      <c r="F165" s="209">
        <f>F164/R165</f>
        <v>0.32209468179039596</v>
      </c>
      <c r="G165" s="350" t="s">
        <v>136</v>
      </c>
      <c r="H165" s="352">
        <f>H164/R165</f>
        <v>0.38640901990083543</v>
      </c>
      <c r="I165" s="352">
        <f>I164/R165</f>
        <v>0.38657882225089996</v>
      </c>
      <c r="J165" s="350" t="s">
        <v>136</v>
      </c>
      <c r="K165" s="352">
        <f>K164/R165</f>
        <v>0.3871323779121103</v>
      </c>
      <c r="L165" s="352">
        <f>L164/R165</f>
        <v>0.3868199415879916</v>
      </c>
      <c r="M165" s="352">
        <f>M164/R165</f>
        <v>0.38675541669496705</v>
      </c>
      <c r="N165" s="352">
        <f>N164/R165</f>
        <v>0.38666711947293353</v>
      </c>
      <c r="O165" s="352">
        <f>O164/R165</f>
        <v>0.38679956530598386</v>
      </c>
      <c r="P165" s="352">
        <f>P164/R165</f>
        <v>0.38704408069007673</v>
      </c>
      <c r="Q165" s="400">
        <f>Q164/R165</f>
        <v>0.38746858656523808</v>
      </c>
      <c r="R165" s="1">
        <v>294460</v>
      </c>
    </row>
    <row r="167" spans="1:18" ht="24" customHeight="1" x14ac:dyDescent="0.3">
      <c r="B167" s="307" t="s">
        <v>200</v>
      </c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9"/>
    </row>
    <row r="168" spans="1:18" x14ac:dyDescent="0.3">
      <c r="B168" s="297" t="s">
        <v>174</v>
      </c>
      <c r="C168" s="301"/>
      <c r="D168" s="301"/>
      <c r="E168" s="301"/>
      <c r="F168" s="301"/>
      <c r="G168" s="301"/>
      <c r="H168" s="301"/>
      <c r="I168" s="301"/>
      <c r="J168" s="301"/>
      <c r="K168" s="301"/>
      <c r="L168" s="301"/>
      <c r="M168" s="301"/>
      <c r="N168" s="301"/>
      <c r="O168" s="301"/>
      <c r="P168" s="301"/>
      <c r="Q168" s="302"/>
    </row>
    <row r="169" spans="1:18" ht="21" customHeight="1" x14ac:dyDescent="0.3">
      <c r="B169" s="296" t="s">
        <v>181</v>
      </c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4"/>
    </row>
    <row r="170" spans="1:18" ht="21" customHeight="1" x14ac:dyDescent="0.3">
      <c r="B170" s="310" t="s">
        <v>4</v>
      </c>
      <c r="C170" s="313"/>
      <c r="D170" s="314"/>
      <c r="E170" s="373">
        <f>AVERAGE(F170:Q170)</f>
        <v>265.16666666666669</v>
      </c>
      <c r="F170" s="24">
        <v>287</v>
      </c>
      <c r="G170" s="25">
        <v>252</v>
      </c>
      <c r="H170" s="25">
        <v>284</v>
      </c>
      <c r="I170" s="25">
        <v>290</v>
      </c>
      <c r="J170" s="25">
        <v>261</v>
      </c>
      <c r="K170" s="25">
        <v>249</v>
      </c>
      <c r="L170" s="25">
        <v>220</v>
      </c>
      <c r="M170" s="362">
        <v>239</v>
      </c>
      <c r="N170" s="362">
        <v>294</v>
      </c>
      <c r="O170" s="362">
        <v>286</v>
      </c>
      <c r="P170" s="362">
        <v>279</v>
      </c>
      <c r="Q170" s="366">
        <v>241</v>
      </c>
    </row>
    <row r="171" spans="1:18" ht="21" customHeight="1" x14ac:dyDescent="0.3">
      <c r="B171" s="311" t="s">
        <v>177</v>
      </c>
      <c r="C171" s="313"/>
      <c r="D171" s="314"/>
      <c r="E171" s="374">
        <f>AVERAGE(F171:Q171)</f>
        <v>3</v>
      </c>
      <c r="F171" s="363">
        <v>3</v>
      </c>
      <c r="G171" s="363">
        <v>3</v>
      </c>
      <c r="H171" s="363">
        <v>3</v>
      </c>
      <c r="I171" s="363">
        <v>3</v>
      </c>
      <c r="J171" s="363">
        <v>3</v>
      </c>
      <c r="K171" s="363">
        <v>3</v>
      </c>
      <c r="L171" s="363">
        <v>3</v>
      </c>
      <c r="M171" s="364">
        <v>3</v>
      </c>
      <c r="N171" s="364">
        <v>3</v>
      </c>
      <c r="O171" s="364">
        <v>3</v>
      </c>
      <c r="P171" s="364">
        <v>3</v>
      </c>
      <c r="Q171" s="367">
        <v>3</v>
      </c>
    </row>
    <row r="172" spans="1:18" ht="21" customHeight="1" x14ac:dyDescent="0.3">
      <c r="B172" s="311" t="s">
        <v>180</v>
      </c>
      <c r="C172" s="313"/>
      <c r="D172" s="314"/>
      <c r="E172" s="374" t="str">
        <f>((ROUND(E170/E171,0)&amp;" : "&amp;"1"))</f>
        <v>88 : 1</v>
      </c>
      <c r="F172" s="363" t="str">
        <f>((ROUND(F170/F171,0)&amp;" : "&amp;"1"))</f>
        <v>96 : 1</v>
      </c>
      <c r="G172" s="363" t="str">
        <f t="shared" ref="G172:L172" si="15">((ROUND(G170/G171,0)&amp;" : "&amp;"1"))</f>
        <v>84 : 1</v>
      </c>
      <c r="H172" s="363" t="str">
        <f t="shared" si="15"/>
        <v>95 : 1</v>
      </c>
      <c r="I172" s="363" t="str">
        <f t="shared" si="15"/>
        <v>97 : 1</v>
      </c>
      <c r="J172" s="363" t="str">
        <f t="shared" si="15"/>
        <v>87 : 1</v>
      </c>
      <c r="K172" s="363" t="str">
        <f t="shared" si="15"/>
        <v>83 : 1</v>
      </c>
      <c r="L172" s="363" t="str">
        <f t="shared" si="15"/>
        <v>73 : 1</v>
      </c>
      <c r="M172" s="363" t="str">
        <f>((ROUND(M170/M171,0)&amp;" : "&amp;"1"))</f>
        <v>80 : 1</v>
      </c>
      <c r="N172" s="363" t="str">
        <f>((ROUND(N170/N171,0)&amp;" : "&amp;"1"))</f>
        <v>98 : 1</v>
      </c>
      <c r="O172" s="363" t="str">
        <f>((ROUND(O170/O171,0)&amp;" : "&amp;"1"))</f>
        <v>95 : 1</v>
      </c>
      <c r="P172" s="363" t="str">
        <f>((ROUND(P170/P171,0)&amp;" : "&amp;"1"))</f>
        <v>93 : 1</v>
      </c>
      <c r="Q172" s="367" t="str">
        <f>((ROUND(Q170/Q171,0)&amp;" : "&amp;"1"))</f>
        <v>80 : 1</v>
      </c>
    </row>
    <row r="173" spans="1:18" ht="21" customHeight="1" x14ac:dyDescent="0.3">
      <c r="B173" s="312" t="s">
        <v>179</v>
      </c>
      <c r="C173" s="313"/>
      <c r="D173" s="314"/>
      <c r="E173" s="369" t="s">
        <v>184</v>
      </c>
      <c r="F173" s="370" t="s">
        <v>184</v>
      </c>
      <c r="G173" s="370" t="s">
        <v>184</v>
      </c>
      <c r="H173" s="370" t="s">
        <v>184</v>
      </c>
      <c r="I173" s="370" t="s">
        <v>184</v>
      </c>
      <c r="J173" s="370" t="s">
        <v>184</v>
      </c>
      <c r="K173" s="370" t="s">
        <v>184</v>
      </c>
      <c r="L173" s="370" t="s">
        <v>184</v>
      </c>
      <c r="M173" s="370" t="s">
        <v>184</v>
      </c>
      <c r="N173" s="370" t="s">
        <v>184</v>
      </c>
      <c r="O173" s="370" t="s">
        <v>184</v>
      </c>
      <c r="P173" s="370" t="s">
        <v>184</v>
      </c>
      <c r="Q173" s="372" t="s">
        <v>184</v>
      </c>
    </row>
    <row r="174" spans="1:18" ht="21" customHeight="1" x14ac:dyDescent="0.3">
      <c r="B174" s="296" t="s">
        <v>191</v>
      </c>
      <c r="C174" s="298"/>
      <c r="D174" s="298"/>
      <c r="E174" s="380"/>
      <c r="F174" s="380"/>
      <c r="G174" s="380"/>
      <c r="H174" s="380"/>
      <c r="I174" s="380"/>
      <c r="J174" s="380"/>
      <c r="K174" s="380"/>
      <c r="L174" s="380"/>
      <c r="M174" s="380"/>
      <c r="N174" s="380"/>
      <c r="O174" s="380"/>
      <c r="P174" s="380"/>
      <c r="Q174" s="381"/>
    </row>
    <row r="175" spans="1:18" ht="21" customHeight="1" x14ac:dyDescent="0.3">
      <c r="B175" s="310" t="s">
        <v>178</v>
      </c>
      <c r="C175" s="313"/>
      <c r="D175" s="314"/>
      <c r="E175" s="393">
        <f>AVERAGE(F175:Q175)</f>
        <v>190.6</v>
      </c>
      <c r="F175" s="389" t="s">
        <v>136</v>
      </c>
      <c r="G175" s="389" t="s">
        <v>136</v>
      </c>
      <c r="H175" s="391">
        <f>189+45</f>
        <v>234</v>
      </c>
      <c r="I175" s="391">
        <f>173+41</f>
        <v>214</v>
      </c>
      <c r="J175" s="391">
        <f>192+72</f>
        <v>264</v>
      </c>
      <c r="K175" s="391">
        <f>120+29</f>
        <v>149</v>
      </c>
      <c r="L175" s="391">
        <f>116+31</f>
        <v>147</v>
      </c>
      <c r="M175" s="391">
        <v>99</v>
      </c>
      <c r="N175" s="391">
        <v>136</v>
      </c>
      <c r="O175" s="362">
        <f>28+100+54</f>
        <v>182</v>
      </c>
      <c r="P175" s="362">
        <v>252</v>
      </c>
      <c r="Q175" s="366">
        <v>229</v>
      </c>
    </row>
    <row r="176" spans="1:18" ht="21" customHeight="1" x14ac:dyDescent="0.3">
      <c r="B176" s="311" t="s">
        <v>177</v>
      </c>
      <c r="C176" s="313"/>
      <c r="D176" s="314"/>
      <c r="E176" s="394">
        <f>AVERAGE(F176:Q176)</f>
        <v>10.3</v>
      </c>
      <c r="F176" s="390" t="s">
        <v>136</v>
      </c>
      <c r="G176" s="390" t="s">
        <v>136</v>
      </c>
      <c r="H176" s="392">
        <v>10</v>
      </c>
      <c r="I176" s="392">
        <v>16</v>
      </c>
      <c r="J176" s="392">
        <v>18</v>
      </c>
      <c r="K176" s="392">
        <v>6</v>
      </c>
      <c r="L176" s="392">
        <v>13</v>
      </c>
      <c r="M176" s="392">
        <v>5</v>
      </c>
      <c r="N176" s="392">
        <v>6</v>
      </c>
      <c r="O176" s="364">
        <v>9</v>
      </c>
      <c r="P176" s="364">
        <v>10</v>
      </c>
      <c r="Q176" s="367">
        <v>10</v>
      </c>
    </row>
    <row r="177" spans="2:17" ht="21" customHeight="1" x14ac:dyDescent="0.3">
      <c r="B177" s="311" t="s">
        <v>180</v>
      </c>
      <c r="C177" s="313"/>
      <c r="D177" s="314"/>
      <c r="E177" s="394" t="str">
        <f>((ROUND(E175/E176,0)&amp;" : "&amp;"1"))</f>
        <v>19 : 1</v>
      </c>
      <c r="F177" s="390" t="s">
        <v>136</v>
      </c>
      <c r="G177" s="390" t="s">
        <v>136</v>
      </c>
      <c r="H177" s="364" t="str">
        <f t="shared" ref="H177:N177" si="16">((ROUND(H175/H176,0)&amp;" : "&amp;"1"))</f>
        <v>23 : 1</v>
      </c>
      <c r="I177" s="364" t="str">
        <f t="shared" si="16"/>
        <v>13 : 1</v>
      </c>
      <c r="J177" s="364" t="str">
        <f t="shared" si="16"/>
        <v>15 : 1</v>
      </c>
      <c r="K177" s="364" t="str">
        <f t="shared" si="16"/>
        <v>25 : 1</v>
      </c>
      <c r="L177" s="364" t="str">
        <f t="shared" si="16"/>
        <v>11 : 1</v>
      </c>
      <c r="M177" s="364" t="str">
        <f t="shared" si="16"/>
        <v>20 : 1</v>
      </c>
      <c r="N177" s="364" t="str">
        <f t="shared" si="16"/>
        <v>23 : 1</v>
      </c>
      <c r="O177" s="364" t="str">
        <f>((ROUND(O175/O176,0)&amp;" : "&amp;"1"))</f>
        <v>20 : 1</v>
      </c>
      <c r="P177" s="364" t="str">
        <f>((ROUND(P175/P176,0)&amp;" : "&amp;"1"))</f>
        <v>25 : 1</v>
      </c>
      <c r="Q177" s="367" t="str">
        <f>((ROUND(Q175/Q176,0)&amp;" : "&amp;"1"))</f>
        <v>23 : 1</v>
      </c>
    </row>
    <row r="178" spans="2:17" ht="21" customHeight="1" x14ac:dyDescent="0.3">
      <c r="B178" s="312" t="s">
        <v>179</v>
      </c>
      <c r="C178" s="313"/>
      <c r="D178" s="314"/>
      <c r="E178" s="369" t="s">
        <v>185</v>
      </c>
      <c r="F178" s="370" t="s">
        <v>185</v>
      </c>
      <c r="G178" s="370" t="s">
        <v>185</v>
      </c>
      <c r="H178" s="371" t="s">
        <v>185</v>
      </c>
      <c r="I178" s="371" t="s">
        <v>185</v>
      </c>
      <c r="J178" s="371" t="s">
        <v>185</v>
      </c>
      <c r="K178" s="371" t="s">
        <v>185</v>
      </c>
      <c r="L178" s="371" t="s">
        <v>185</v>
      </c>
      <c r="M178" s="371" t="s">
        <v>185</v>
      </c>
      <c r="N178" s="371" t="s">
        <v>185</v>
      </c>
      <c r="O178" s="371" t="s">
        <v>185</v>
      </c>
      <c r="P178" s="371" t="s">
        <v>185</v>
      </c>
      <c r="Q178" s="372" t="s">
        <v>185</v>
      </c>
    </row>
    <row r="179" spans="2:17" ht="21" customHeight="1" x14ac:dyDescent="0.3">
      <c r="B179" s="296" t="s">
        <v>182</v>
      </c>
      <c r="C179" s="298"/>
      <c r="D179" s="298"/>
      <c r="E179" s="380"/>
      <c r="F179" s="380"/>
      <c r="G179" s="380"/>
      <c r="H179" s="380"/>
      <c r="I179" s="380"/>
      <c r="J179" s="380"/>
      <c r="K179" s="380"/>
      <c r="L179" s="380"/>
      <c r="M179" s="380"/>
      <c r="N179" s="380"/>
      <c r="O179" s="380"/>
      <c r="P179" s="380"/>
      <c r="Q179" s="381"/>
    </row>
    <row r="180" spans="2:17" ht="21" customHeight="1" x14ac:dyDescent="0.3">
      <c r="B180" s="310" t="s">
        <v>178</v>
      </c>
      <c r="C180" s="313"/>
      <c r="D180" s="314"/>
      <c r="E180" s="373">
        <f>AVERAGE(F180:Q180)</f>
        <v>99.5</v>
      </c>
      <c r="F180" s="387">
        <v>101</v>
      </c>
      <c r="G180" s="386">
        <v>97</v>
      </c>
      <c r="H180" s="386">
        <v>84</v>
      </c>
      <c r="I180" s="386">
        <v>105</v>
      </c>
      <c r="J180" s="386">
        <v>92</v>
      </c>
      <c r="K180" s="386">
        <v>87</v>
      </c>
      <c r="L180" s="386">
        <v>90</v>
      </c>
      <c r="M180" s="362">
        <v>97</v>
      </c>
      <c r="N180" s="362">
        <v>85</v>
      </c>
      <c r="O180" s="362">
        <v>133</v>
      </c>
      <c r="P180" s="362">
        <v>109</v>
      </c>
      <c r="Q180" s="366">
        <v>114</v>
      </c>
    </row>
    <row r="181" spans="2:17" ht="21" customHeight="1" x14ac:dyDescent="0.3">
      <c r="B181" s="311" t="s">
        <v>177</v>
      </c>
      <c r="C181" s="313"/>
      <c r="D181" s="314"/>
      <c r="E181" s="374">
        <f>AVERAGE(F181:Q181)</f>
        <v>11.75</v>
      </c>
      <c r="F181" s="385">
        <v>12</v>
      </c>
      <c r="G181" s="384">
        <v>12</v>
      </c>
      <c r="H181" s="364">
        <v>12</v>
      </c>
      <c r="I181" s="384">
        <v>12</v>
      </c>
      <c r="J181" s="384">
        <v>12</v>
      </c>
      <c r="K181" s="384">
        <v>12</v>
      </c>
      <c r="L181" s="384">
        <v>12</v>
      </c>
      <c r="M181" s="364">
        <v>9</v>
      </c>
      <c r="N181" s="364">
        <v>12</v>
      </c>
      <c r="O181" s="364">
        <v>12</v>
      </c>
      <c r="P181" s="364">
        <v>12</v>
      </c>
      <c r="Q181" s="367">
        <v>12</v>
      </c>
    </row>
    <row r="182" spans="2:17" ht="21" customHeight="1" x14ac:dyDescent="0.3">
      <c r="B182" s="311" t="s">
        <v>180</v>
      </c>
      <c r="C182" s="313"/>
      <c r="D182" s="314"/>
      <c r="E182" s="374" t="str">
        <f>((ROUND(E180/E181,0)&amp;" : "&amp;"1"))</f>
        <v>8 : 1</v>
      </c>
      <c r="F182" s="363" t="str">
        <f>((ROUND(F180/F181,0)&amp;" : "&amp;"1"))</f>
        <v>8 : 1</v>
      </c>
      <c r="G182" s="363" t="str">
        <f t="shared" ref="G182:L182" si="17">((ROUND(G180/G181,0)&amp;" : "&amp;"1"))</f>
        <v>8 : 1</v>
      </c>
      <c r="H182" s="363" t="str">
        <f t="shared" si="17"/>
        <v>7 : 1</v>
      </c>
      <c r="I182" s="363" t="str">
        <f t="shared" si="17"/>
        <v>9 : 1</v>
      </c>
      <c r="J182" s="363" t="str">
        <f t="shared" si="17"/>
        <v>8 : 1</v>
      </c>
      <c r="K182" s="363" t="str">
        <f t="shared" si="17"/>
        <v>7 : 1</v>
      </c>
      <c r="L182" s="363" t="str">
        <f t="shared" si="17"/>
        <v>8 : 1</v>
      </c>
      <c r="M182" s="363" t="str">
        <f>((ROUND(M180/M181,0)&amp;" : "&amp;"1"))</f>
        <v>11 : 1</v>
      </c>
      <c r="N182" s="363" t="str">
        <f>((ROUND(N180/N181,0)&amp;" : "&amp;"1"))</f>
        <v>7 : 1</v>
      </c>
      <c r="O182" s="363" t="str">
        <f>((ROUND(O180/O181,0)&amp;" : "&amp;"1"))</f>
        <v>11 : 1</v>
      </c>
      <c r="P182" s="363" t="str">
        <f>((ROUND(P180/P181,0)&amp;" : "&amp;"1"))</f>
        <v>9 : 1</v>
      </c>
      <c r="Q182" s="401" t="str">
        <f>((ROUND(Q180/Q181,0)&amp;" : "&amp;"1"))</f>
        <v>10 : 1</v>
      </c>
    </row>
    <row r="183" spans="2:17" ht="21" customHeight="1" x14ac:dyDescent="0.3">
      <c r="B183" s="312" t="s">
        <v>179</v>
      </c>
      <c r="C183" s="313"/>
      <c r="D183" s="314"/>
      <c r="E183" s="369" t="s">
        <v>185</v>
      </c>
      <c r="F183" s="370" t="s">
        <v>185</v>
      </c>
      <c r="G183" s="370" t="s">
        <v>185</v>
      </c>
      <c r="H183" s="370" t="s">
        <v>185</v>
      </c>
      <c r="I183" s="370" t="s">
        <v>185</v>
      </c>
      <c r="J183" s="370" t="s">
        <v>185</v>
      </c>
      <c r="K183" s="370" t="s">
        <v>185</v>
      </c>
      <c r="L183" s="370" t="s">
        <v>185</v>
      </c>
      <c r="M183" s="370" t="s">
        <v>185</v>
      </c>
      <c r="N183" s="370" t="s">
        <v>185</v>
      </c>
      <c r="O183" s="370" t="s">
        <v>185</v>
      </c>
      <c r="P183" s="370" t="s">
        <v>185</v>
      </c>
      <c r="Q183" s="402" t="s">
        <v>185</v>
      </c>
    </row>
    <row r="184" spans="2:17" x14ac:dyDescent="0.3">
      <c r="B184" s="297" t="s">
        <v>183</v>
      </c>
      <c r="C184" s="305"/>
      <c r="D184" s="305"/>
      <c r="E184" s="382"/>
      <c r="F184" s="382"/>
      <c r="G184" s="382"/>
      <c r="H184" s="382"/>
      <c r="I184" s="382"/>
      <c r="J184" s="382"/>
      <c r="K184" s="382"/>
      <c r="L184" s="382"/>
      <c r="M184" s="382"/>
      <c r="N184" s="382"/>
      <c r="O184" s="382"/>
      <c r="P184" s="382"/>
      <c r="Q184" s="383"/>
    </row>
    <row r="185" spans="2:17" ht="21" customHeight="1" x14ac:dyDescent="0.3">
      <c r="B185" s="296" t="s">
        <v>175</v>
      </c>
      <c r="C185" s="298"/>
      <c r="D185" s="298"/>
      <c r="E185" s="380"/>
      <c r="F185" s="380"/>
      <c r="G185" s="380"/>
      <c r="H185" s="380"/>
      <c r="I185" s="380"/>
      <c r="J185" s="380"/>
      <c r="K185" s="380"/>
      <c r="L185" s="380"/>
      <c r="M185" s="380"/>
      <c r="N185" s="380"/>
      <c r="O185" s="380"/>
      <c r="P185" s="380"/>
      <c r="Q185" s="381"/>
    </row>
    <row r="186" spans="2:17" ht="21" customHeight="1" x14ac:dyDescent="0.3">
      <c r="B186" s="310" t="s">
        <v>178</v>
      </c>
      <c r="C186" s="313"/>
      <c r="D186" s="314"/>
      <c r="E186" s="373">
        <f>AVERAGE(F186:Q186)</f>
        <v>208.66666666666666</v>
      </c>
      <c r="F186" s="387">
        <v>168</v>
      </c>
      <c r="G186" s="386">
        <v>178</v>
      </c>
      <c r="H186" s="386">
        <v>187</v>
      </c>
      <c r="I186" s="386">
        <v>220</v>
      </c>
      <c r="J186" s="386">
        <v>191</v>
      </c>
      <c r="K186" s="386">
        <v>207</v>
      </c>
      <c r="L186" s="386">
        <v>243</v>
      </c>
      <c r="M186" s="362">
        <v>239</v>
      </c>
      <c r="N186" s="362">
        <v>239</v>
      </c>
      <c r="O186" s="362">
        <v>210</v>
      </c>
      <c r="P186" s="362">
        <v>212</v>
      </c>
      <c r="Q186" s="366">
        <v>210</v>
      </c>
    </row>
    <row r="187" spans="2:17" ht="21" customHeight="1" x14ac:dyDescent="0.3">
      <c r="B187" s="311" t="s">
        <v>177</v>
      </c>
      <c r="C187" s="313"/>
      <c r="D187" s="314"/>
      <c r="E187" s="374">
        <f>AVERAGE(F187:Q187)</f>
        <v>15.916666666666666</v>
      </c>
      <c r="F187" s="363">
        <v>15</v>
      </c>
      <c r="G187" s="364">
        <v>16</v>
      </c>
      <c r="H187" s="364">
        <v>16</v>
      </c>
      <c r="I187" s="364">
        <v>16</v>
      </c>
      <c r="J187" s="364">
        <v>16</v>
      </c>
      <c r="K187" s="364">
        <v>16</v>
      </c>
      <c r="L187" s="364">
        <v>16</v>
      </c>
      <c r="M187" s="364">
        <v>16</v>
      </c>
      <c r="N187" s="364">
        <v>16</v>
      </c>
      <c r="O187" s="364">
        <v>16</v>
      </c>
      <c r="P187" s="364">
        <v>16</v>
      </c>
      <c r="Q187" s="367">
        <v>16</v>
      </c>
    </row>
    <row r="188" spans="2:17" ht="21" customHeight="1" x14ac:dyDescent="0.3">
      <c r="B188" s="311" t="s">
        <v>180</v>
      </c>
      <c r="C188" s="313"/>
      <c r="D188" s="314"/>
      <c r="E188" s="374" t="str">
        <f>((ROUND(E186/E187,0)&amp;" : "&amp;"1"))</f>
        <v>13 : 1</v>
      </c>
      <c r="F188" s="363" t="str">
        <f>((ROUND(F186/F187,0)&amp;" : "&amp;"1"))</f>
        <v>11 : 1</v>
      </c>
      <c r="G188" s="363" t="str">
        <f t="shared" ref="G188:L188" si="18">((ROUND(G186/G187,0)&amp;" : "&amp;"1"))</f>
        <v>11 : 1</v>
      </c>
      <c r="H188" s="363" t="str">
        <f t="shared" si="18"/>
        <v>12 : 1</v>
      </c>
      <c r="I188" s="363" t="str">
        <f t="shared" si="18"/>
        <v>14 : 1</v>
      </c>
      <c r="J188" s="363" t="str">
        <f t="shared" si="18"/>
        <v>12 : 1</v>
      </c>
      <c r="K188" s="363" t="str">
        <f t="shared" si="18"/>
        <v>13 : 1</v>
      </c>
      <c r="L188" s="363" t="str">
        <f t="shared" si="18"/>
        <v>15 : 1</v>
      </c>
      <c r="M188" s="363" t="str">
        <f>((ROUND(M186/M187,0)&amp;" : "&amp;"1"))</f>
        <v>15 : 1</v>
      </c>
      <c r="N188" s="363" t="str">
        <f>((ROUND(N186/N187,0)&amp;" : "&amp;"1"))</f>
        <v>15 : 1</v>
      </c>
      <c r="O188" s="363" t="str">
        <f>((ROUND(O186/O187,0)&amp;" : "&amp;"1"))</f>
        <v>13 : 1</v>
      </c>
      <c r="P188" s="363" t="str">
        <f>((ROUND(P186/P187,0)&amp;" : "&amp;"1"))</f>
        <v>13 : 1</v>
      </c>
      <c r="Q188" s="401" t="str">
        <f>((ROUND(Q186/Q187,0)&amp;" : "&amp;"1"))</f>
        <v>13 : 1</v>
      </c>
    </row>
    <row r="189" spans="2:17" ht="21" customHeight="1" x14ac:dyDescent="0.3">
      <c r="B189" s="312" t="s">
        <v>179</v>
      </c>
      <c r="C189" s="313"/>
      <c r="D189" s="314"/>
      <c r="E189" s="369" t="s">
        <v>186</v>
      </c>
      <c r="F189" s="370" t="s">
        <v>186</v>
      </c>
      <c r="G189" s="370" t="s">
        <v>186</v>
      </c>
      <c r="H189" s="370" t="s">
        <v>186</v>
      </c>
      <c r="I189" s="370" t="s">
        <v>186</v>
      </c>
      <c r="J189" s="370" t="s">
        <v>186</v>
      </c>
      <c r="K189" s="370" t="s">
        <v>186</v>
      </c>
      <c r="L189" s="370" t="s">
        <v>186</v>
      </c>
      <c r="M189" s="370" t="s">
        <v>186</v>
      </c>
      <c r="N189" s="370" t="s">
        <v>186</v>
      </c>
      <c r="O189" s="370" t="s">
        <v>186</v>
      </c>
      <c r="P189" s="370" t="s">
        <v>186</v>
      </c>
      <c r="Q189" s="402" t="s">
        <v>186</v>
      </c>
    </row>
    <row r="190" spans="2:17" ht="21" customHeight="1" x14ac:dyDescent="0.3">
      <c r="B190" s="296" t="s">
        <v>176</v>
      </c>
      <c r="C190" s="298"/>
      <c r="D190" s="298"/>
      <c r="E190" s="380"/>
      <c r="F190" s="380"/>
      <c r="G190" s="380"/>
      <c r="H190" s="380"/>
      <c r="I190" s="380"/>
      <c r="J190" s="380"/>
      <c r="K190" s="380"/>
      <c r="L190" s="380"/>
      <c r="M190" s="380"/>
      <c r="N190" s="380"/>
      <c r="O190" s="380"/>
      <c r="P190" s="380"/>
      <c r="Q190" s="381"/>
    </row>
    <row r="191" spans="2:17" ht="21" customHeight="1" x14ac:dyDescent="0.3">
      <c r="B191" s="310" t="s">
        <v>178</v>
      </c>
      <c r="C191" s="313"/>
      <c r="D191" s="314"/>
      <c r="E191" s="373">
        <f>AVERAGE(F191:Q191)</f>
        <v>31.5</v>
      </c>
      <c r="F191" s="361">
        <v>29</v>
      </c>
      <c r="G191" s="362">
        <v>29</v>
      </c>
      <c r="H191" s="362">
        <v>30</v>
      </c>
      <c r="I191" s="362">
        <v>30</v>
      </c>
      <c r="J191" s="362">
        <v>36</v>
      </c>
      <c r="K191" s="362">
        <v>36</v>
      </c>
      <c r="L191" s="362">
        <v>38</v>
      </c>
      <c r="M191" s="362">
        <v>30</v>
      </c>
      <c r="N191" s="362">
        <v>30</v>
      </c>
      <c r="O191" s="362">
        <v>25</v>
      </c>
      <c r="P191" s="362">
        <v>33</v>
      </c>
      <c r="Q191" s="366">
        <v>32</v>
      </c>
    </row>
    <row r="192" spans="2:17" ht="21" customHeight="1" x14ac:dyDescent="0.3">
      <c r="B192" s="311" t="s">
        <v>177</v>
      </c>
      <c r="C192" s="313"/>
      <c r="D192" s="314"/>
      <c r="E192" s="374">
        <f>AVERAGE(F192:Q192)</f>
        <v>4</v>
      </c>
      <c r="F192" s="363">
        <v>4</v>
      </c>
      <c r="G192" s="364">
        <v>4</v>
      </c>
      <c r="H192" s="364">
        <v>4</v>
      </c>
      <c r="I192" s="364">
        <v>4</v>
      </c>
      <c r="J192" s="364">
        <v>4</v>
      </c>
      <c r="K192" s="364">
        <v>4</v>
      </c>
      <c r="L192" s="364">
        <v>4</v>
      </c>
      <c r="M192" s="364">
        <v>4</v>
      </c>
      <c r="N192" s="364">
        <v>4</v>
      </c>
      <c r="O192" s="364">
        <v>4</v>
      </c>
      <c r="P192" s="364">
        <v>4</v>
      </c>
      <c r="Q192" s="367">
        <v>4</v>
      </c>
    </row>
    <row r="193" spans="2:17" ht="21" customHeight="1" x14ac:dyDescent="0.3">
      <c r="B193" s="311" t="s">
        <v>180</v>
      </c>
      <c r="C193" s="313"/>
      <c r="D193" s="314"/>
      <c r="E193" s="374" t="str">
        <f>((ROUND(E191/E192,0)&amp;" : "&amp;"1"))</f>
        <v>8 : 1</v>
      </c>
      <c r="F193" s="363" t="str">
        <f>((ROUND(F191/F192,0)&amp;" : "&amp;"1"))</f>
        <v>7 : 1</v>
      </c>
      <c r="G193" s="363" t="str">
        <f t="shared" ref="G193:L193" si="19">((ROUND(G191/G192,0)&amp;" : "&amp;"1"))</f>
        <v>7 : 1</v>
      </c>
      <c r="H193" s="363" t="str">
        <f t="shared" si="19"/>
        <v>8 : 1</v>
      </c>
      <c r="I193" s="363" t="str">
        <f t="shared" si="19"/>
        <v>8 : 1</v>
      </c>
      <c r="J193" s="363" t="str">
        <f t="shared" si="19"/>
        <v>9 : 1</v>
      </c>
      <c r="K193" s="363" t="str">
        <f t="shared" si="19"/>
        <v>9 : 1</v>
      </c>
      <c r="L193" s="363" t="str">
        <f t="shared" si="19"/>
        <v>10 : 1</v>
      </c>
      <c r="M193" s="363" t="str">
        <f>((ROUND(M191/M192,0)&amp;" : "&amp;"1"))</f>
        <v>8 : 1</v>
      </c>
      <c r="N193" s="363" t="str">
        <f>((ROUND(N191/N192,0)&amp;" : "&amp;"1"))</f>
        <v>8 : 1</v>
      </c>
      <c r="O193" s="363" t="str">
        <f>((ROUND(O191/O192,0)&amp;" : "&amp;"1"))</f>
        <v>6 : 1</v>
      </c>
      <c r="P193" s="363" t="str">
        <f>((ROUND(P191/P192,0)&amp;" : "&amp;"1"))</f>
        <v>8 : 1</v>
      </c>
      <c r="Q193" s="401" t="str">
        <f>((ROUND(Q191/Q192,0)&amp;" : "&amp;"1"))</f>
        <v>8 : 1</v>
      </c>
    </row>
    <row r="194" spans="2:17" ht="21" customHeight="1" x14ac:dyDescent="0.3">
      <c r="B194" s="316" t="s">
        <v>179</v>
      </c>
      <c r="C194" s="317"/>
      <c r="D194" s="318"/>
      <c r="E194" s="376" t="s">
        <v>186</v>
      </c>
      <c r="F194" s="377" t="s">
        <v>186</v>
      </c>
      <c r="G194" s="377" t="s">
        <v>186</v>
      </c>
      <c r="H194" s="377" t="s">
        <v>186</v>
      </c>
      <c r="I194" s="377" t="s">
        <v>186</v>
      </c>
      <c r="J194" s="377" t="s">
        <v>186</v>
      </c>
      <c r="K194" s="377" t="s">
        <v>186</v>
      </c>
      <c r="L194" s="377" t="s">
        <v>186</v>
      </c>
      <c r="M194" s="377" t="s">
        <v>186</v>
      </c>
      <c r="N194" s="377" t="s">
        <v>186</v>
      </c>
      <c r="O194" s="377" t="s">
        <v>186</v>
      </c>
      <c r="P194" s="377" t="s">
        <v>186</v>
      </c>
      <c r="Q194" s="403" t="s">
        <v>186</v>
      </c>
    </row>
    <row r="195" spans="2:17" x14ac:dyDescent="0.3">
      <c r="B195" s="297" t="s">
        <v>43</v>
      </c>
      <c r="C195" s="305"/>
      <c r="D195" s="305"/>
      <c r="E195" s="305"/>
      <c r="F195" s="305"/>
      <c r="G195" s="305"/>
      <c r="H195" s="305"/>
      <c r="I195" s="305"/>
      <c r="J195" s="305"/>
      <c r="K195" s="305"/>
      <c r="L195" s="305"/>
      <c r="M195" s="305"/>
      <c r="N195" s="305"/>
      <c r="O195" s="305"/>
      <c r="P195" s="305"/>
      <c r="Q195" s="306"/>
    </row>
    <row r="196" spans="2:17" ht="21" customHeight="1" x14ac:dyDescent="0.3">
      <c r="B196" s="296" t="s">
        <v>44</v>
      </c>
      <c r="C196" s="298"/>
      <c r="D196" s="298"/>
      <c r="E196" s="298"/>
      <c r="F196" s="298"/>
      <c r="G196" s="298"/>
      <c r="H196" s="298"/>
      <c r="I196" s="298"/>
      <c r="J196" s="298"/>
      <c r="K196" s="298"/>
      <c r="L196" s="298"/>
      <c r="M196" s="298"/>
      <c r="N196" s="298"/>
      <c r="O196" s="298"/>
      <c r="P196" s="298"/>
      <c r="Q196" s="300"/>
    </row>
    <row r="197" spans="2:17" ht="21" customHeight="1" x14ac:dyDescent="0.3">
      <c r="B197" s="310" t="s">
        <v>178</v>
      </c>
      <c r="C197" s="313"/>
      <c r="D197" s="314"/>
      <c r="E197" s="373">
        <f>AVERAGE(F197:Q197)</f>
        <v>67.545454545454547</v>
      </c>
      <c r="F197" s="361" t="s">
        <v>209</v>
      </c>
      <c r="G197" s="362">
        <v>71</v>
      </c>
      <c r="H197" s="362">
        <v>63</v>
      </c>
      <c r="I197" s="362">
        <v>70</v>
      </c>
      <c r="J197" s="362">
        <v>61</v>
      </c>
      <c r="K197" s="362">
        <v>58</v>
      </c>
      <c r="L197" s="362">
        <v>56</v>
      </c>
      <c r="M197" s="362">
        <v>83</v>
      </c>
      <c r="N197" s="362">
        <v>75</v>
      </c>
      <c r="O197" s="362">
        <v>65</v>
      </c>
      <c r="P197" s="362">
        <v>70</v>
      </c>
      <c r="Q197" s="366">
        <v>71</v>
      </c>
    </row>
    <row r="198" spans="2:17" ht="21" customHeight="1" x14ac:dyDescent="0.3">
      <c r="B198" s="311" t="s">
        <v>177</v>
      </c>
      <c r="C198" s="313"/>
      <c r="D198" s="314"/>
      <c r="E198" s="374">
        <f>AVERAGE(F198:Q198)</f>
        <v>6</v>
      </c>
      <c r="F198" s="363" t="s">
        <v>210</v>
      </c>
      <c r="G198" s="364">
        <v>6</v>
      </c>
      <c r="H198" s="364">
        <v>6</v>
      </c>
      <c r="I198" s="364">
        <v>6</v>
      </c>
      <c r="J198" s="364">
        <v>6</v>
      </c>
      <c r="K198" s="364">
        <v>6</v>
      </c>
      <c r="L198" s="364">
        <v>6</v>
      </c>
      <c r="M198" s="364">
        <v>6</v>
      </c>
      <c r="N198" s="364">
        <v>6</v>
      </c>
      <c r="O198" s="364">
        <v>6</v>
      </c>
      <c r="P198" s="364">
        <v>6</v>
      </c>
      <c r="Q198" s="367">
        <v>6</v>
      </c>
    </row>
    <row r="199" spans="2:17" ht="21" customHeight="1" x14ac:dyDescent="0.3">
      <c r="B199" s="311" t="s">
        <v>180</v>
      </c>
      <c r="C199" s="313"/>
      <c r="D199" s="314"/>
      <c r="E199" s="374" t="str">
        <f>((ROUND(E197/E198,0)&amp;" : "&amp;"1"))</f>
        <v>11 : 1</v>
      </c>
      <c r="F199" s="363" t="str">
        <f>((ROUND(F197/F198,0)&amp;" : "&amp;"1"))</f>
        <v>11 : 1</v>
      </c>
      <c r="G199" s="363" t="str">
        <f t="shared" ref="G199:M199" si="20">((ROUND(G197/G198,0)&amp;" : "&amp;"1"))</f>
        <v>12 : 1</v>
      </c>
      <c r="H199" s="363" t="str">
        <f t="shared" si="20"/>
        <v>11 : 1</v>
      </c>
      <c r="I199" s="363" t="str">
        <f t="shared" si="20"/>
        <v>12 : 1</v>
      </c>
      <c r="J199" s="363" t="str">
        <f t="shared" si="20"/>
        <v>10 : 1</v>
      </c>
      <c r="K199" s="363" t="str">
        <f t="shared" si="20"/>
        <v>10 : 1</v>
      </c>
      <c r="L199" s="363" t="str">
        <f t="shared" si="20"/>
        <v>9 : 1</v>
      </c>
      <c r="M199" s="363" t="str">
        <f t="shared" si="20"/>
        <v>14 : 1</v>
      </c>
      <c r="N199" s="363" t="str">
        <f>((ROUND(N197/N198,0)&amp;" : "&amp;"1"))</f>
        <v>13 : 1</v>
      </c>
      <c r="O199" s="363" t="str">
        <f>((ROUND(O197/O198,0)&amp;" : "&amp;"1"))</f>
        <v>11 : 1</v>
      </c>
      <c r="P199" s="363" t="str">
        <f>((ROUND(P197/P198,0)&amp;" : "&amp;"1"))</f>
        <v>12 : 1</v>
      </c>
      <c r="Q199" s="367" t="str">
        <f>((ROUND(Q197/Q198,0)&amp;" : "&amp;"1"))</f>
        <v>12 : 1</v>
      </c>
    </row>
    <row r="200" spans="2:17" ht="21" customHeight="1" x14ac:dyDescent="0.3">
      <c r="B200" s="312" t="s">
        <v>179</v>
      </c>
      <c r="C200" s="313"/>
      <c r="D200" s="314"/>
      <c r="E200" s="375" t="s">
        <v>187</v>
      </c>
      <c r="F200" s="365" t="s">
        <v>187</v>
      </c>
      <c r="G200" s="365" t="s">
        <v>187</v>
      </c>
      <c r="H200" s="365" t="s">
        <v>187</v>
      </c>
      <c r="I200" s="365" t="s">
        <v>187</v>
      </c>
      <c r="J200" s="365" t="s">
        <v>187</v>
      </c>
      <c r="K200" s="365" t="s">
        <v>187</v>
      </c>
      <c r="L200" s="365" t="s">
        <v>187</v>
      </c>
      <c r="M200" s="365" t="s">
        <v>187</v>
      </c>
      <c r="N200" s="365" t="s">
        <v>187</v>
      </c>
      <c r="O200" s="365" t="s">
        <v>187</v>
      </c>
      <c r="P200" s="365" t="s">
        <v>187</v>
      </c>
      <c r="Q200" s="368" t="s">
        <v>187</v>
      </c>
    </row>
    <row r="201" spans="2:17" ht="21" customHeight="1" x14ac:dyDescent="0.3">
      <c r="B201" s="296" t="s">
        <v>114</v>
      </c>
      <c r="C201" s="298"/>
      <c r="D201" s="298"/>
      <c r="E201" s="298"/>
      <c r="F201" s="298"/>
      <c r="G201" s="298"/>
      <c r="H201" s="298"/>
      <c r="I201" s="298"/>
      <c r="J201" s="298"/>
      <c r="K201" s="298"/>
      <c r="L201" s="298"/>
      <c r="M201" s="298"/>
      <c r="N201" s="298"/>
      <c r="O201" s="298"/>
      <c r="P201" s="298"/>
      <c r="Q201" s="300"/>
    </row>
    <row r="202" spans="2:17" ht="21" customHeight="1" x14ac:dyDescent="0.3">
      <c r="B202" s="310" t="s">
        <v>178</v>
      </c>
      <c r="C202" s="313"/>
      <c r="D202" s="314"/>
      <c r="E202" s="373">
        <f>AVERAGE(F202:Q202)</f>
        <v>76.25</v>
      </c>
      <c r="F202" s="361">
        <v>73</v>
      </c>
      <c r="G202" s="362">
        <v>73</v>
      </c>
      <c r="H202" s="362">
        <v>74</v>
      </c>
      <c r="I202" s="362">
        <v>77</v>
      </c>
      <c r="J202" s="362">
        <v>78</v>
      </c>
      <c r="K202" s="362">
        <v>77</v>
      </c>
      <c r="L202" s="362">
        <v>75</v>
      </c>
      <c r="M202" s="362">
        <v>77</v>
      </c>
      <c r="N202" s="362">
        <v>76</v>
      </c>
      <c r="O202" s="362">
        <v>79</v>
      </c>
      <c r="P202" s="362">
        <v>77</v>
      </c>
      <c r="Q202" s="366">
        <v>79</v>
      </c>
    </row>
    <row r="203" spans="2:17" ht="21" customHeight="1" x14ac:dyDescent="0.3">
      <c r="B203" s="311" t="s">
        <v>177</v>
      </c>
      <c r="C203" s="313"/>
      <c r="D203" s="314"/>
      <c r="E203" s="374">
        <f>AVERAGE(F203:Q203)</f>
        <v>3</v>
      </c>
      <c r="F203" s="363">
        <v>3</v>
      </c>
      <c r="G203" s="364">
        <v>3</v>
      </c>
      <c r="H203" s="364">
        <v>3</v>
      </c>
      <c r="I203" s="364">
        <v>3</v>
      </c>
      <c r="J203" s="364">
        <v>3</v>
      </c>
      <c r="K203" s="364">
        <v>3</v>
      </c>
      <c r="L203" s="364">
        <v>3</v>
      </c>
      <c r="M203" s="364">
        <v>3</v>
      </c>
      <c r="N203" s="364">
        <v>3</v>
      </c>
      <c r="O203" s="364">
        <v>3</v>
      </c>
      <c r="P203" s="364">
        <v>3</v>
      </c>
      <c r="Q203" s="367">
        <v>3</v>
      </c>
    </row>
    <row r="204" spans="2:17" ht="21" customHeight="1" x14ac:dyDescent="0.3">
      <c r="B204" s="311" t="s">
        <v>180</v>
      </c>
      <c r="C204" s="313"/>
      <c r="D204" s="314"/>
      <c r="E204" s="374" t="str">
        <f>((ROUND(E202/E203,0)&amp;" : "&amp;"1"))</f>
        <v>25 : 1</v>
      </c>
      <c r="F204" s="363" t="str">
        <f>((ROUND(F202/F203,0)&amp;" : "&amp;"1"))</f>
        <v>24 : 1</v>
      </c>
      <c r="G204" s="363" t="str">
        <f t="shared" ref="G204:L204" si="21">((ROUND(G202/G203,0)&amp;" : "&amp;"1"))</f>
        <v>24 : 1</v>
      </c>
      <c r="H204" s="363" t="str">
        <f t="shared" si="21"/>
        <v>25 : 1</v>
      </c>
      <c r="I204" s="363" t="str">
        <f t="shared" si="21"/>
        <v>26 : 1</v>
      </c>
      <c r="J204" s="363" t="str">
        <f t="shared" si="21"/>
        <v>26 : 1</v>
      </c>
      <c r="K204" s="363" t="str">
        <f t="shared" si="21"/>
        <v>26 : 1</v>
      </c>
      <c r="L204" s="363" t="str">
        <f t="shared" si="21"/>
        <v>25 : 1</v>
      </c>
      <c r="M204" s="363" t="str">
        <f>((ROUND(M202/M203,0)&amp;" : "&amp;"1"))</f>
        <v>26 : 1</v>
      </c>
      <c r="N204" s="363" t="str">
        <f>((ROUND(N202/N203,0)&amp;" : "&amp;"1"))</f>
        <v>25 : 1</v>
      </c>
      <c r="O204" s="363" t="str">
        <f>((ROUND(O202/O203,0)&amp;" : "&amp;"1"))</f>
        <v>26 : 1</v>
      </c>
      <c r="P204" s="363" t="str">
        <f>((ROUND(P202/P203,0)&amp;" : "&amp;"1"))</f>
        <v>26 : 1</v>
      </c>
      <c r="Q204" s="367" t="str">
        <f>((ROUND(Q202/Q203,0)&amp;" : "&amp;"1"))</f>
        <v>26 : 1</v>
      </c>
    </row>
    <row r="205" spans="2:17" ht="21" customHeight="1" x14ac:dyDescent="0.3">
      <c r="B205" s="312" t="s">
        <v>179</v>
      </c>
      <c r="C205" s="313"/>
      <c r="D205" s="314"/>
      <c r="E205" s="375" t="s">
        <v>188</v>
      </c>
      <c r="F205" s="365" t="s">
        <v>188</v>
      </c>
      <c r="G205" s="365" t="s">
        <v>188</v>
      </c>
      <c r="H205" s="365" t="s">
        <v>188</v>
      </c>
      <c r="I205" s="365" t="s">
        <v>188</v>
      </c>
      <c r="J205" s="365" t="s">
        <v>188</v>
      </c>
      <c r="K205" s="365" t="s">
        <v>188</v>
      </c>
      <c r="L205" s="365" t="s">
        <v>188</v>
      </c>
      <c r="M205" s="365" t="s">
        <v>188</v>
      </c>
      <c r="N205" s="365" t="s">
        <v>188</v>
      </c>
      <c r="O205" s="365" t="s">
        <v>188</v>
      </c>
      <c r="P205" s="365" t="s">
        <v>188</v>
      </c>
      <c r="Q205" s="368" t="s">
        <v>188</v>
      </c>
    </row>
    <row r="206" spans="2:17" ht="21" customHeight="1" x14ac:dyDescent="0.3">
      <c r="B206" s="296" t="s">
        <v>203</v>
      </c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300"/>
    </row>
    <row r="207" spans="2:17" ht="21" customHeight="1" x14ac:dyDescent="0.3">
      <c r="B207" s="310" t="s">
        <v>178</v>
      </c>
      <c r="C207" s="315"/>
      <c r="D207" s="314"/>
      <c r="E207" s="373">
        <f>AVERAGE(F207:Q207)</f>
        <v>420.91666666666669</v>
      </c>
      <c r="F207" s="361">
        <v>402</v>
      </c>
      <c r="G207" s="362">
        <v>424</v>
      </c>
      <c r="H207" s="362">
        <v>454</v>
      </c>
      <c r="I207" s="362">
        <v>450</v>
      </c>
      <c r="J207" s="388">
        <v>442</v>
      </c>
      <c r="K207" s="362">
        <v>431</v>
      </c>
      <c r="L207" s="362">
        <v>424</v>
      </c>
      <c r="M207" s="362">
        <v>424</v>
      </c>
      <c r="N207" s="362">
        <v>410</v>
      </c>
      <c r="O207" s="362">
        <v>401</v>
      </c>
      <c r="P207" s="362">
        <v>402</v>
      </c>
      <c r="Q207" s="366">
        <v>387</v>
      </c>
    </row>
    <row r="208" spans="2:17" ht="21" customHeight="1" x14ac:dyDescent="0.3">
      <c r="B208" s="311" t="s">
        <v>177</v>
      </c>
      <c r="C208" s="313"/>
      <c r="D208" s="314"/>
      <c r="E208" s="374">
        <f>AVERAGE(F208:Q208)</f>
        <v>10</v>
      </c>
      <c r="F208" s="363">
        <v>10</v>
      </c>
      <c r="G208" s="364">
        <v>10</v>
      </c>
      <c r="H208" s="364">
        <v>10</v>
      </c>
      <c r="I208" s="364">
        <v>10</v>
      </c>
      <c r="J208" s="388">
        <v>10</v>
      </c>
      <c r="K208" s="364">
        <v>10</v>
      </c>
      <c r="L208" s="364">
        <v>10</v>
      </c>
      <c r="M208" s="364">
        <v>10</v>
      </c>
      <c r="N208" s="364">
        <v>10</v>
      </c>
      <c r="O208" s="364">
        <v>10</v>
      </c>
      <c r="P208" s="364">
        <v>10</v>
      </c>
      <c r="Q208" s="367">
        <v>10</v>
      </c>
    </row>
    <row r="209" spans="2:17" ht="21" customHeight="1" x14ac:dyDescent="0.3">
      <c r="B209" s="311" t="s">
        <v>180</v>
      </c>
      <c r="C209" s="313"/>
      <c r="D209" s="314"/>
      <c r="E209" s="374" t="str">
        <f>((ROUND(E207/E208,0)&amp;" : "&amp;"1"))</f>
        <v>42 : 1</v>
      </c>
      <c r="F209" s="363" t="str">
        <f>((ROUND(F207/F208,0)&amp;" : "&amp;"1"))</f>
        <v>40 : 1</v>
      </c>
      <c r="G209" s="363" t="str">
        <f t="shared" ref="G209:L209" si="22">((ROUND(G207/G208,0)&amp;" : "&amp;"1"))</f>
        <v>42 : 1</v>
      </c>
      <c r="H209" s="363" t="str">
        <f t="shared" si="22"/>
        <v>45 : 1</v>
      </c>
      <c r="I209" s="363" t="str">
        <f t="shared" si="22"/>
        <v>45 : 1</v>
      </c>
      <c r="J209" s="363" t="str">
        <f t="shared" si="22"/>
        <v>44 : 1</v>
      </c>
      <c r="K209" s="363" t="str">
        <f t="shared" si="22"/>
        <v>43 : 1</v>
      </c>
      <c r="L209" s="363" t="str">
        <f t="shared" si="22"/>
        <v>42 : 1</v>
      </c>
      <c r="M209" s="363" t="str">
        <f>((ROUND(M207/M208,0)&amp;" : "&amp;"1"))</f>
        <v>42 : 1</v>
      </c>
      <c r="N209" s="363" t="str">
        <f>((ROUND(N207/N208,0)&amp;" : "&amp;"1"))</f>
        <v>41 : 1</v>
      </c>
      <c r="O209" s="363" t="str">
        <f>((ROUND(O207/O208,0)&amp;" : "&amp;"1"))</f>
        <v>40 : 1</v>
      </c>
      <c r="P209" s="363" t="str">
        <f>((ROUND(P207/P208,0)&amp;" : "&amp;"1"))</f>
        <v>40 : 1</v>
      </c>
      <c r="Q209" s="401" t="str">
        <f>((ROUND(Q207/Q208,0)&amp;" : "&amp;"1"))</f>
        <v>39 : 1</v>
      </c>
    </row>
    <row r="210" spans="2:17" ht="21" customHeight="1" x14ac:dyDescent="0.3">
      <c r="B210" s="312" t="s">
        <v>179</v>
      </c>
      <c r="C210" s="313"/>
      <c r="D210" s="314"/>
      <c r="E210" s="375" t="s">
        <v>189</v>
      </c>
      <c r="F210" s="365" t="s">
        <v>189</v>
      </c>
      <c r="G210" s="365" t="s">
        <v>189</v>
      </c>
      <c r="H210" s="365" t="s">
        <v>189</v>
      </c>
      <c r="I210" s="365" t="s">
        <v>189</v>
      </c>
      <c r="J210" s="365" t="s">
        <v>189</v>
      </c>
      <c r="K210" s="365" t="s">
        <v>189</v>
      </c>
      <c r="L210" s="365" t="s">
        <v>189</v>
      </c>
      <c r="M210" s="365" t="s">
        <v>189</v>
      </c>
      <c r="N210" s="365" t="s">
        <v>189</v>
      </c>
      <c r="O210" s="365" t="s">
        <v>189</v>
      </c>
      <c r="P210" s="365" t="s">
        <v>189</v>
      </c>
      <c r="Q210" s="404" t="s">
        <v>189</v>
      </c>
    </row>
    <row r="211" spans="2:17" ht="21" customHeight="1" x14ac:dyDescent="0.3">
      <c r="B211" s="296" t="s">
        <v>201</v>
      </c>
      <c r="C211" s="298"/>
      <c r="D211" s="298"/>
      <c r="E211" s="299"/>
      <c r="F211" s="298"/>
      <c r="G211" s="298"/>
      <c r="H211" s="298"/>
      <c r="I211" s="1142"/>
      <c r="J211" s="1142"/>
      <c r="K211" s="298"/>
      <c r="L211" s="298"/>
      <c r="M211" s="298"/>
      <c r="N211" s="298"/>
      <c r="O211" s="298"/>
      <c r="P211" s="298"/>
      <c r="Q211" s="300"/>
    </row>
    <row r="212" spans="2:17" ht="21" customHeight="1" x14ac:dyDescent="0.3">
      <c r="B212" s="310" t="s">
        <v>178</v>
      </c>
      <c r="C212" s="313"/>
      <c r="D212" s="314"/>
      <c r="E212" s="373">
        <f>AVERAGE(F212:L212)</f>
        <v>128.85714285714286</v>
      </c>
      <c r="F212" s="361">
        <v>126</v>
      </c>
      <c r="G212" s="362">
        <v>123</v>
      </c>
      <c r="H212" s="362">
        <v>119</v>
      </c>
      <c r="I212" s="362">
        <v>151</v>
      </c>
      <c r="J212" s="362">
        <v>124</v>
      </c>
      <c r="K212" s="362">
        <v>130</v>
      </c>
      <c r="L212" s="362">
        <v>129</v>
      </c>
      <c r="M212" s="362">
        <v>129</v>
      </c>
      <c r="N212" s="362">
        <v>130</v>
      </c>
      <c r="O212" s="362">
        <v>133</v>
      </c>
      <c r="P212" s="362">
        <v>135</v>
      </c>
      <c r="Q212" s="366">
        <v>133</v>
      </c>
    </row>
    <row r="213" spans="2:17" ht="21" customHeight="1" x14ac:dyDescent="0.3">
      <c r="B213" s="311" t="s">
        <v>177</v>
      </c>
      <c r="C213" s="313"/>
      <c r="D213" s="314"/>
      <c r="E213" s="374">
        <f>AVERAGE(F213:Q213)</f>
        <v>4.75</v>
      </c>
      <c r="F213" s="363">
        <v>4</v>
      </c>
      <c r="G213" s="364">
        <v>4</v>
      </c>
      <c r="H213" s="364">
        <v>4</v>
      </c>
      <c r="I213" s="364">
        <v>5</v>
      </c>
      <c r="J213" s="364">
        <v>5</v>
      </c>
      <c r="K213" s="364">
        <v>5</v>
      </c>
      <c r="L213" s="364">
        <v>5</v>
      </c>
      <c r="M213" s="364">
        <v>5</v>
      </c>
      <c r="N213" s="364">
        <v>5</v>
      </c>
      <c r="O213" s="364">
        <v>5</v>
      </c>
      <c r="P213" s="364">
        <v>5</v>
      </c>
      <c r="Q213" s="367">
        <v>5</v>
      </c>
    </row>
    <row r="214" spans="2:17" ht="21" customHeight="1" x14ac:dyDescent="0.3">
      <c r="B214" s="311" t="s">
        <v>180</v>
      </c>
      <c r="C214" s="313"/>
      <c r="D214" s="314"/>
      <c r="E214" s="374" t="str">
        <f>((ROUND(E212/E213,0)&amp;" : "&amp;"1"))</f>
        <v>27 : 1</v>
      </c>
      <c r="F214" s="363" t="str">
        <f>((ROUND(F212/F213,0)&amp;" : "&amp;"1"))</f>
        <v>32 : 1</v>
      </c>
      <c r="G214" s="363" t="str">
        <f t="shared" ref="G214:L214" si="23">((ROUND(G212/G213,0)&amp;" : "&amp;"1"))</f>
        <v>31 : 1</v>
      </c>
      <c r="H214" s="363" t="str">
        <f t="shared" si="23"/>
        <v>30 : 1</v>
      </c>
      <c r="I214" s="363" t="str">
        <f t="shared" si="23"/>
        <v>30 : 1</v>
      </c>
      <c r="J214" s="363" t="str">
        <f t="shared" si="23"/>
        <v>25 : 1</v>
      </c>
      <c r="K214" s="363" t="str">
        <f t="shared" si="23"/>
        <v>26 : 1</v>
      </c>
      <c r="L214" s="363" t="str">
        <f t="shared" si="23"/>
        <v>26 : 1</v>
      </c>
      <c r="M214" s="363" t="str">
        <f>((ROUND(M212/M213,0)&amp;" : "&amp;"1"))</f>
        <v>26 : 1</v>
      </c>
      <c r="N214" s="363" t="str">
        <f>((ROUND(N212/N213,0)&amp;" : "&amp;"1"))</f>
        <v>26 : 1</v>
      </c>
      <c r="O214" s="363" t="str">
        <f>((ROUND(O212/O213,0)&amp;" : "&amp;"1"))</f>
        <v>27 : 1</v>
      </c>
      <c r="P214" s="363" t="str">
        <f>((ROUND(P212/P213,0)&amp;" : "&amp;"1"))</f>
        <v>27 : 1</v>
      </c>
      <c r="Q214" s="401" t="str">
        <f>((ROUND(Q212/Q213,0)&amp;" : "&amp;"1"))</f>
        <v>27 : 1</v>
      </c>
    </row>
    <row r="215" spans="2:17" ht="21" customHeight="1" x14ac:dyDescent="0.3">
      <c r="B215" s="312" t="s">
        <v>179</v>
      </c>
      <c r="C215" s="313"/>
      <c r="D215" s="314"/>
      <c r="E215" s="369" t="s">
        <v>211</v>
      </c>
      <c r="F215" s="370" t="s">
        <v>211</v>
      </c>
      <c r="G215" s="370" t="s">
        <v>211</v>
      </c>
      <c r="H215" s="370" t="s">
        <v>211</v>
      </c>
      <c r="I215" s="370" t="s">
        <v>211</v>
      </c>
      <c r="J215" s="370" t="s">
        <v>211</v>
      </c>
      <c r="K215" s="370" t="s">
        <v>211</v>
      </c>
      <c r="L215" s="370" t="s">
        <v>211</v>
      </c>
      <c r="M215" s="370" t="s">
        <v>211</v>
      </c>
      <c r="N215" s="370" t="s">
        <v>211</v>
      </c>
      <c r="O215" s="370" t="s">
        <v>211</v>
      </c>
      <c r="P215" s="370" t="s">
        <v>211</v>
      </c>
      <c r="Q215" s="402" t="s">
        <v>211</v>
      </c>
    </row>
    <row r="216" spans="2:17" ht="21" customHeight="1" x14ac:dyDescent="0.3">
      <c r="B216" s="296" t="s">
        <v>163</v>
      </c>
      <c r="C216" s="298"/>
      <c r="D216" s="298"/>
      <c r="E216" s="299"/>
      <c r="F216" s="298"/>
      <c r="G216" s="298"/>
      <c r="H216" s="298"/>
      <c r="I216" s="1142"/>
      <c r="J216" s="1142"/>
      <c r="K216" s="298"/>
      <c r="L216" s="298"/>
      <c r="M216" s="298"/>
      <c r="N216" s="298"/>
      <c r="O216" s="298"/>
      <c r="P216" s="298"/>
      <c r="Q216" s="300"/>
    </row>
    <row r="217" spans="2:17" ht="21" customHeight="1" x14ac:dyDescent="0.3">
      <c r="B217" s="310" t="s">
        <v>178</v>
      </c>
      <c r="C217" s="313"/>
      <c r="D217" s="314"/>
      <c r="E217" s="373">
        <f>AVERAGE(F217:Q217)</f>
        <v>52.583333333333336</v>
      </c>
      <c r="F217" s="361">
        <v>50</v>
      </c>
      <c r="G217" s="362">
        <v>50</v>
      </c>
      <c r="H217" s="362">
        <v>49</v>
      </c>
      <c r="I217" s="362">
        <v>49</v>
      </c>
      <c r="J217" s="362">
        <v>49</v>
      </c>
      <c r="K217" s="362">
        <v>49</v>
      </c>
      <c r="L217" s="362">
        <v>49</v>
      </c>
      <c r="M217" s="362">
        <v>70</v>
      </c>
      <c r="N217" s="362">
        <v>73</v>
      </c>
      <c r="O217" s="362">
        <v>48</v>
      </c>
      <c r="P217" s="362">
        <v>48</v>
      </c>
      <c r="Q217" s="366">
        <v>47</v>
      </c>
    </row>
    <row r="218" spans="2:17" ht="21" customHeight="1" x14ac:dyDescent="0.3">
      <c r="B218" s="311" t="s">
        <v>177</v>
      </c>
      <c r="C218" s="313"/>
      <c r="D218" s="314"/>
      <c r="E218" s="374">
        <f>AVERAGE(F218:Q218)</f>
        <v>4.083333333333333</v>
      </c>
      <c r="F218" s="363">
        <v>4</v>
      </c>
      <c r="G218" s="364">
        <v>4</v>
      </c>
      <c r="H218" s="364">
        <v>4</v>
      </c>
      <c r="I218" s="364">
        <v>4</v>
      </c>
      <c r="J218" s="364">
        <v>4</v>
      </c>
      <c r="K218" s="364">
        <v>4</v>
      </c>
      <c r="L218" s="364">
        <v>4</v>
      </c>
      <c r="M218" s="364">
        <v>5</v>
      </c>
      <c r="N218" s="364">
        <v>4</v>
      </c>
      <c r="O218" s="364">
        <v>4</v>
      </c>
      <c r="P218" s="364">
        <v>4</v>
      </c>
      <c r="Q218" s="367">
        <v>4</v>
      </c>
    </row>
    <row r="219" spans="2:17" ht="21" customHeight="1" x14ac:dyDescent="0.3">
      <c r="B219" s="311" t="s">
        <v>180</v>
      </c>
      <c r="C219" s="313"/>
      <c r="D219" s="314"/>
      <c r="E219" s="374" t="str">
        <f>((ROUND(E217/E218,0)&amp;" : "&amp;"1"))</f>
        <v>13 : 1</v>
      </c>
      <c r="F219" s="363" t="str">
        <f>((ROUND(F217/F218,0)&amp;" : "&amp;"1"))</f>
        <v>13 : 1</v>
      </c>
      <c r="G219" s="363" t="str">
        <f t="shared" ref="G219:L219" si="24">((ROUND(G217/G218,0)&amp;" : "&amp;"1"))</f>
        <v>13 : 1</v>
      </c>
      <c r="H219" s="363" t="str">
        <f t="shared" si="24"/>
        <v>12 : 1</v>
      </c>
      <c r="I219" s="363" t="str">
        <f t="shared" si="24"/>
        <v>12 : 1</v>
      </c>
      <c r="J219" s="363" t="str">
        <f t="shared" si="24"/>
        <v>12 : 1</v>
      </c>
      <c r="K219" s="363" t="str">
        <f t="shared" si="24"/>
        <v>12 : 1</v>
      </c>
      <c r="L219" s="363" t="str">
        <f t="shared" si="24"/>
        <v>12 : 1</v>
      </c>
      <c r="M219" s="363" t="str">
        <f>((ROUND(M217/M218,0)&amp;" : "&amp;"1"))</f>
        <v>14 : 1</v>
      </c>
      <c r="N219" s="363" t="str">
        <f>((ROUND(N217/N218,0)&amp;" : "&amp;"1"))</f>
        <v>18 : 1</v>
      </c>
      <c r="O219" s="363" t="str">
        <f>((ROUND(O217/O218,0)&amp;" : "&amp;"1"))</f>
        <v>12 : 1</v>
      </c>
      <c r="P219" s="363" t="str">
        <f>((ROUND(P217/P218,0)&amp;" : "&amp;"1"))</f>
        <v>12 : 1</v>
      </c>
      <c r="Q219" s="401" t="str">
        <f>((ROUND(Q217/Q218,0)&amp;" : "&amp;"1"))</f>
        <v>12 : 1</v>
      </c>
    </row>
    <row r="220" spans="2:17" ht="21" customHeight="1" x14ac:dyDescent="0.3">
      <c r="B220" s="312" t="s">
        <v>179</v>
      </c>
      <c r="C220" s="313"/>
      <c r="D220" s="314"/>
      <c r="E220" s="369" t="s">
        <v>212</v>
      </c>
      <c r="F220" s="370" t="s">
        <v>212</v>
      </c>
      <c r="G220" s="370" t="s">
        <v>212</v>
      </c>
      <c r="H220" s="370" t="s">
        <v>212</v>
      </c>
      <c r="I220" s="370" t="s">
        <v>212</v>
      </c>
      <c r="J220" s="370" t="s">
        <v>212</v>
      </c>
      <c r="K220" s="370" t="s">
        <v>212</v>
      </c>
      <c r="L220" s="370" t="s">
        <v>212</v>
      </c>
      <c r="M220" s="370" t="s">
        <v>212</v>
      </c>
      <c r="N220" s="370" t="s">
        <v>212</v>
      </c>
      <c r="O220" s="370" t="s">
        <v>212</v>
      </c>
      <c r="P220" s="370" t="s">
        <v>212</v>
      </c>
      <c r="Q220" s="402" t="s">
        <v>212</v>
      </c>
    </row>
    <row r="221" spans="2:17" ht="21" customHeight="1" x14ac:dyDescent="0.3">
      <c r="B221" s="296" t="s">
        <v>202</v>
      </c>
      <c r="C221" s="298"/>
      <c r="D221" s="298"/>
      <c r="E221" s="299"/>
      <c r="F221" s="298"/>
      <c r="G221" s="298"/>
      <c r="H221" s="298"/>
      <c r="I221" s="1142"/>
      <c r="J221" s="1142"/>
      <c r="K221" s="298"/>
      <c r="L221" s="298"/>
      <c r="M221" s="298"/>
      <c r="N221" s="298"/>
      <c r="O221" s="298"/>
      <c r="P221" s="298"/>
      <c r="Q221" s="300"/>
    </row>
    <row r="222" spans="2:17" ht="21" customHeight="1" x14ac:dyDescent="0.3">
      <c r="B222" s="310" t="s">
        <v>178</v>
      </c>
      <c r="C222" s="313"/>
      <c r="D222" s="314"/>
      <c r="E222" s="373">
        <f>AVERAGE(F222:Q222)</f>
        <v>135.08333333333334</v>
      </c>
      <c r="F222" s="361">
        <v>139</v>
      </c>
      <c r="G222" s="362">
        <v>139</v>
      </c>
      <c r="H222" s="362">
        <v>137</v>
      </c>
      <c r="I222" s="362">
        <v>136</v>
      </c>
      <c r="J222" s="362">
        <v>134</v>
      </c>
      <c r="K222" s="362">
        <v>129</v>
      </c>
      <c r="L222" s="362">
        <v>129</v>
      </c>
      <c r="M222" s="362">
        <v>130</v>
      </c>
      <c r="N222" s="362">
        <v>134</v>
      </c>
      <c r="O222" s="362">
        <v>137</v>
      </c>
      <c r="P222" s="362">
        <v>136</v>
      </c>
      <c r="Q222" s="366">
        <v>141</v>
      </c>
    </row>
    <row r="223" spans="2:17" ht="21" customHeight="1" x14ac:dyDescent="0.3">
      <c r="B223" s="311" t="s">
        <v>177</v>
      </c>
      <c r="C223" s="313"/>
      <c r="D223" s="314"/>
      <c r="E223" s="374">
        <f>AVERAGE(F223:Q223)</f>
        <v>5</v>
      </c>
      <c r="F223" s="363">
        <v>5</v>
      </c>
      <c r="G223" s="364">
        <v>5</v>
      </c>
      <c r="H223" s="364">
        <v>5</v>
      </c>
      <c r="I223" s="364">
        <v>5</v>
      </c>
      <c r="J223" s="364">
        <v>5</v>
      </c>
      <c r="K223" s="364">
        <v>5</v>
      </c>
      <c r="L223" s="364">
        <v>5</v>
      </c>
      <c r="M223" s="364">
        <v>5</v>
      </c>
      <c r="N223" s="364">
        <v>5</v>
      </c>
      <c r="O223" s="364">
        <v>5</v>
      </c>
      <c r="P223" s="364">
        <v>5</v>
      </c>
      <c r="Q223" s="367">
        <v>5</v>
      </c>
    </row>
    <row r="224" spans="2:17" ht="21" customHeight="1" x14ac:dyDescent="0.3">
      <c r="B224" s="311" t="s">
        <v>180</v>
      </c>
      <c r="C224" s="313"/>
      <c r="D224" s="314"/>
      <c r="E224" s="374" t="str">
        <f>((ROUND(E222/E223,0)&amp;" : "&amp;"1"))</f>
        <v>27 : 1</v>
      </c>
      <c r="F224" s="363" t="str">
        <f>((ROUND(F222/F223,0)&amp;" : "&amp;"1"))</f>
        <v>28 : 1</v>
      </c>
      <c r="G224" s="363" t="str">
        <f t="shared" ref="G224:L224" si="25">((ROUND(G222/G223,0)&amp;" : "&amp;"1"))</f>
        <v>28 : 1</v>
      </c>
      <c r="H224" s="363" t="str">
        <f t="shared" si="25"/>
        <v>27 : 1</v>
      </c>
      <c r="I224" s="363" t="str">
        <f t="shared" si="25"/>
        <v>27 : 1</v>
      </c>
      <c r="J224" s="363" t="str">
        <f t="shared" si="25"/>
        <v>27 : 1</v>
      </c>
      <c r="K224" s="363" t="str">
        <f t="shared" si="25"/>
        <v>26 : 1</v>
      </c>
      <c r="L224" s="363" t="str">
        <f t="shared" si="25"/>
        <v>26 : 1</v>
      </c>
      <c r="M224" s="363" t="str">
        <f>((ROUND(M222/M223,0)&amp;" : "&amp;"1"))</f>
        <v>26 : 1</v>
      </c>
      <c r="N224" s="363" t="str">
        <f>((ROUND(N222/N223,0)&amp;" : "&amp;"1"))</f>
        <v>27 : 1</v>
      </c>
      <c r="O224" s="363" t="str">
        <f>((ROUND(O222/O223,0)&amp;" : "&amp;"1"))</f>
        <v>27 : 1</v>
      </c>
      <c r="P224" s="363" t="str">
        <f>((ROUND(P222/P223,0)&amp;" : "&amp;"1"))</f>
        <v>27 : 1</v>
      </c>
      <c r="Q224" s="401" t="str">
        <f>((ROUND(Q222/Q223,0)&amp;" : "&amp;"1"))</f>
        <v>28 : 1</v>
      </c>
    </row>
    <row r="225" spans="2:17" ht="21" customHeight="1" x14ac:dyDescent="0.3">
      <c r="B225" s="316" t="s">
        <v>179</v>
      </c>
      <c r="C225" s="317"/>
      <c r="D225" s="318"/>
      <c r="E225" s="376" t="s">
        <v>211</v>
      </c>
      <c r="F225" s="377" t="s">
        <v>189</v>
      </c>
      <c r="G225" s="377" t="s">
        <v>189</v>
      </c>
      <c r="H225" s="377" t="s">
        <v>189</v>
      </c>
      <c r="I225" s="377" t="s">
        <v>189</v>
      </c>
      <c r="J225" s="377" t="s">
        <v>189</v>
      </c>
      <c r="K225" s="377" t="s">
        <v>189</v>
      </c>
      <c r="L225" s="377" t="s">
        <v>189</v>
      </c>
      <c r="M225" s="377" t="s">
        <v>189</v>
      </c>
      <c r="N225" s="378" t="s">
        <v>211</v>
      </c>
      <c r="O225" s="378" t="s">
        <v>211</v>
      </c>
      <c r="P225" s="378" t="s">
        <v>211</v>
      </c>
      <c r="Q225" s="379" t="s">
        <v>211</v>
      </c>
    </row>
  </sheetData>
  <mergeCells count="52">
    <mergeCell ref="I216:J216"/>
    <mergeCell ref="I221:J221"/>
    <mergeCell ref="I211:J211"/>
    <mergeCell ref="B24:Q24"/>
    <mergeCell ref="C1:D1"/>
    <mergeCell ref="B3:Q3"/>
    <mergeCell ref="B4:Q4"/>
    <mergeCell ref="B5:Q5"/>
    <mergeCell ref="B63:Q63"/>
    <mergeCell ref="C25:D31"/>
    <mergeCell ref="E25:E31"/>
    <mergeCell ref="C32:D33"/>
    <mergeCell ref="C35:D40"/>
    <mergeCell ref="B41:Q41"/>
    <mergeCell ref="C45:D46"/>
    <mergeCell ref="E45:E46"/>
    <mergeCell ref="B49:Q49"/>
    <mergeCell ref="C50:D50"/>
    <mergeCell ref="C52:D53"/>
    <mergeCell ref="B55:Q55"/>
    <mergeCell ref="B62:Q62"/>
    <mergeCell ref="C114:D117"/>
    <mergeCell ref="E114:E117"/>
    <mergeCell ref="C65:D68"/>
    <mergeCell ref="B69:Q69"/>
    <mergeCell ref="C70:D72"/>
    <mergeCell ref="B73:Q73"/>
    <mergeCell ref="B93:Q93"/>
    <mergeCell ref="B103:Q103"/>
    <mergeCell ref="B104:Q104"/>
    <mergeCell ref="C105:D112"/>
    <mergeCell ref="B113:Q113"/>
    <mergeCell ref="B84:Q84"/>
    <mergeCell ref="B90:Q90"/>
    <mergeCell ref="B145:Q145"/>
    <mergeCell ref="B118:Q118"/>
    <mergeCell ref="C119:D122"/>
    <mergeCell ref="E119:E122"/>
    <mergeCell ref="B124:Q124"/>
    <mergeCell ref="B125:Q125"/>
    <mergeCell ref="C126:D129"/>
    <mergeCell ref="B130:Q130"/>
    <mergeCell ref="C131:D131"/>
    <mergeCell ref="C132:D133"/>
    <mergeCell ref="B136:Q136"/>
    <mergeCell ref="B137:Q137"/>
    <mergeCell ref="B152:Q152"/>
    <mergeCell ref="B160:Q160"/>
    <mergeCell ref="B162:Q162"/>
    <mergeCell ref="B163:Q163"/>
    <mergeCell ref="E164:E165"/>
    <mergeCell ref="C164:D165"/>
  </mergeCells>
  <pageMargins left="0.25" right="0.25" top="0.75" bottom="0.5" header="0.3" footer="0.3"/>
  <pageSetup scale="55" fitToHeight="0" orientation="landscape" r:id="rId1"/>
  <headerFooter>
    <oddHeader>&amp;C&amp;"-,Bold"&amp;14Durham County Department of Social Services
Management Data Report FY 16</oddHeader>
    <oddFooter>&amp;C&amp;14Page &amp;P of &amp;N</oddFooter>
  </headerFooter>
  <rowBreaks count="6" manualBreakCount="6">
    <brk id="40" max="16383" man="1"/>
    <brk id="61" max="16383" man="1"/>
    <brk id="102" max="16383" man="1"/>
    <brk id="135" max="16383" man="1"/>
    <brk id="166" max="16383" man="1"/>
    <brk id="194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51"/>
  <sheetViews>
    <sheetView topLeftCell="B1" zoomScale="70" zoomScaleNormal="70" workbookViewId="0">
      <selection activeCell="F14" sqref="F14:Q14"/>
    </sheetView>
  </sheetViews>
  <sheetFormatPr defaultColWidth="8.85546875" defaultRowHeight="18.75" x14ac:dyDescent="0.3"/>
  <cols>
    <col min="1" max="1" width="9.140625" style="1" hidden="1" customWidth="1"/>
    <col min="2" max="2" width="63.85546875" style="1" customWidth="1"/>
    <col min="3" max="4" width="10.140625" style="10" bestFit="1" customWidth="1"/>
    <col min="5" max="5" width="13.5703125" style="9" customWidth="1"/>
    <col min="6" max="6" width="12.140625" style="10" bestFit="1" customWidth="1"/>
    <col min="7" max="7" width="12.140625" style="10" customWidth="1"/>
    <col min="8" max="9" width="11.140625" style="10" bestFit="1" customWidth="1"/>
    <col min="10" max="10" width="12.85546875" style="10" bestFit="1" customWidth="1"/>
    <col min="11" max="11" width="12.140625" style="10" bestFit="1" customWidth="1"/>
    <col min="12" max="14" width="11.140625" style="10" bestFit="1" customWidth="1"/>
    <col min="15" max="15" width="11.140625" style="10" customWidth="1"/>
    <col min="16" max="16" width="11.85546875" style="10" customWidth="1"/>
    <col min="17" max="17" width="11.140625" style="10" customWidth="1"/>
    <col min="18" max="18" width="8.85546875" style="1" hidden="1" customWidth="1"/>
    <col min="19" max="16384" width="8.85546875" style="1"/>
  </cols>
  <sheetData>
    <row r="1" spans="1:17" x14ac:dyDescent="0.3">
      <c r="A1" s="4"/>
      <c r="B1" s="11"/>
      <c r="C1" s="1096" t="s">
        <v>110</v>
      </c>
      <c r="D1" s="1097"/>
      <c r="E1" s="12" t="s">
        <v>123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x14ac:dyDescent="0.3">
      <c r="A2" s="5"/>
      <c r="B2" s="15"/>
      <c r="C2" s="16" t="s">
        <v>1</v>
      </c>
      <c r="D2" s="17" t="s">
        <v>2</v>
      </c>
      <c r="E2" s="18" t="s">
        <v>159</v>
      </c>
      <c r="F2" s="19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</row>
    <row r="3" spans="1:17" x14ac:dyDescent="0.3">
      <c r="A3" s="5"/>
      <c r="B3" s="1098" t="s">
        <v>72</v>
      </c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099"/>
      <c r="Q3" s="1100"/>
    </row>
    <row r="4" spans="1:17" x14ac:dyDescent="0.3">
      <c r="A4" s="5"/>
      <c r="B4" s="1101" t="s">
        <v>3</v>
      </c>
      <c r="C4" s="1102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  <c r="Q4" s="1103"/>
    </row>
    <row r="5" spans="1:17" x14ac:dyDescent="0.3">
      <c r="A5" s="5"/>
      <c r="B5" s="1093" t="s">
        <v>18</v>
      </c>
      <c r="C5" s="1094"/>
      <c r="D5" s="1094"/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5"/>
    </row>
    <row r="6" spans="1:17" ht="24" customHeight="1" x14ac:dyDescent="0.3">
      <c r="A6" s="5"/>
      <c r="B6" s="21" t="s">
        <v>4</v>
      </c>
      <c r="C6" s="22">
        <v>3421</v>
      </c>
      <c r="D6" s="23">
        <v>3418</v>
      </c>
      <c r="E6" s="159">
        <f t="shared" ref="E6:E12" si="0">SUM(F6:Q6)</f>
        <v>3424</v>
      </c>
      <c r="F6" s="24">
        <v>278</v>
      </c>
      <c r="G6" s="25">
        <v>279</v>
      </c>
      <c r="H6" s="25">
        <v>278</v>
      </c>
      <c r="I6" s="25">
        <v>367</v>
      </c>
      <c r="J6" s="25">
        <v>226</v>
      </c>
      <c r="K6" s="25">
        <v>247</v>
      </c>
      <c r="L6" s="25">
        <v>263</v>
      </c>
      <c r="M6" s="25">
        <v>205</v>
      </c>
      <c r="N6" s="25">
        <v>349</v>
      </c>
      <c r="O6" s="25">
        <v>344</v>
      </c>
      <c r="P6" s="25">
        <v>308</v>
      </c>
      <c r="Q6" s="26">
        <v>280</v>
      </c>
    </row>
    <row r="7" spans="1:17" ht="24" customHeight="1" x14ac:dyDescent="0.3">
      <c r="A7" s="5"/>
      <c r="B7" s="27" t="s">
        <v>5</v>
      </c>
      <c r="C7" s="28">
        <v>1898</v>
      </c>
      <c r="D7" s="29">
        <v>1872</v>
      </c>
      <c r="E7" s="160">
        <f t="shared" si="0"/>
        <v>2002</v>
      </c>
      <c r="F7" s="30">
        <v>150</v>
      </c>
      <c r="G7" s="31">
        <v>165</v>
      </c>
      <c r="H7" s="31">
        <v>137</v>
      </c>
      <c r="I7" s="31">
        <v>214</v>
      </c>
      <c r="J7" s="31">
        <v>124</v>
      </c>
      <c r="K7" s="31">
        <v>131</v>
      </c>
      <c r="L7" s="31">
        <v>158</v>
      </c>
      <c r="M7" s="31">
        <v>122</v>
      </c>
      <c r="N7" s="31">
        <v>227</v>
      </c>
      <c r="O7" s="31">
        <v>207</v>
      </c>
      <c r="P7" s="31">
        <v>199</v>
      </c>
      <c r="Q7" s="32">
        <v>168</v>
      </c>
    </row>
    <row r="8" spans="1:17" ht="24" customHeight="1" x14ac:dyDescent="0.3">
      <c r="A8" s="5"/>
      <c r="B8" s="241" t="s">
        <v>143</v>
      </c>
      <c r="C8" s="33" t="s">
        <v>144</v>
      </c>
      <c r="D8" s="34">
        <v>2931</v>
      </c>
      <c r="E8" s="160">
        <f t="shared" si="0"/>
        <v>4820</v>
      </c>
      <c r="F8" s="205">
        <f>175+1+6+2+119+39+40+50+2</f>
        <v>434</v>
      </c>
      <c r="G8" s="195">
        <f>101+141+100+24+15+20</f>
        <v>401</v>
      </c>
      <c r="H8" s="195">
        <f>110+2+112+120+13+17+23+2</f>
        <v>399</v>
      </c>
      <c r="I8" s="195">
        <f>56+52+63+5+17+7</f>
        <v>200</v>
      </c>
      <c r="J8" s="195">
        <f>93+0+133+102+7+9+32</f>
        <v>376</v>
      </c>
      <c r="K8" s="195">
        <f>111+82+112+9+18+20</f>
        <v>352</v>
      </c>
      <c r="L8" s="31">
        <f>106+9+157+106+42+70+33</f>
        <v>523</v>
      </c>
      <c r="M8" s="31">
        <f>84+13+127+108+33+29</f>
        <v>394</v>
      </c>
      <c r="N8" s="31">
        <f>125+3+176+118+22+21+24</f>
        <v>489</v>
      </c>
      <c r="O8" s="31">
        <f>150+53+140+2+67+51+5</f>
        <v>468</v>
      </c>
      <c r="P8" s="31">
        <f>164+1+7+141+42+52+1</f>
        <v>408</v>
      </c>
      <c r="Q8" s="32">
        <f>150+126+40+59+1</f>
        <v>376</v>
      </c>
    </row>
    <row r="9" spans="1:17" s="2" customFormat="1" ht="24" customHeight="1" x14ac:dyDescent="0.25">
      <c r="A9" s="6"/>
      <c r="B9" s="21" t="s">
        <v>145</v>
      </c>
      <c r="C9" s="210">
        <v>349</v>
      </c>
      <c r="D9" s="42">
        <v>374</v>
      </c>
      <c r="E9" s="162">
        <f t="shared" si="0"/>
        <v>302</v>
      </c>
      <c r="F9" s="43">
        <v>38</v>
      </c>
      <c r="G9" s="44">
        <v>18</v>
      </c>
      <c r="H9" s="44">
        <v>25</v>
      </c>
      <c r="I9" s="44">
        <v>12</v>
      </c>
      <c r="J9" s="44">
        <v>23</v>
      </c>
      <c r="K9" s="44">
        <v>24</v>
      </c>
      <c r="L9" s="44">
        <v>23</v>
      </c>
      <c r="M9" s="44">
        <v>20</v>
      </c>
      <c r="N9" s="44">
        <v>34</v>
      </c>
      <c r="O9" s="44">
        <v>28</v>
      </c>
      <c r="P9" s="44">
        <v>26</v>
      </c>
      <c r="Q9" s="45">
        <v>31</v>
      </c>
    </row>
    <row r="10" spans="1:17" s="2" customFormat="1" ht="37.35" customHeight="1" x14ac:dyDescent="0.25">
      <c r="A10" s="6"/>
      <c r="B10" s="183" t="s">
        <v>147</v>
      </c>
      <c r="C10" s="204">
        <v>334</v>
      </c>
      <c r="D10" s="42">
        <v>354</v>
      </c>
      <c r="E10" s="162">
        <f t="shared" si="0"/>
        <v>245</v>
      </c>
      <c r="F10" s="43">
        <v>37</v>
      </c>
      <c r="G10" s="44">
        <v>16</v>
      </c>
      <c r="H10" s="44">
        <v>23</v>
      </c>
      <c r="I10" s="44">
        <v>12</v>
      </c>
      <c r="J10" s="44">
        <v>20</v>
      </c>
      <c r="K10" s="44">
        <v>22</v>
      </c>
      <c r="L10" s="44">
        <v>7</v>
      </c>
      <c r="M10" s="44">
        <v>1</v>
      </c>
      <c r="N10" s="44">
        <v>31</v>
      </c>
      <c r="O10" s="44">
        <v>26</v>
      </c>
      <c r="P10" s="44">
        <v>25</v>
      </c>
      <c r="Q10" s="45">
        <v>25</v>
      </c>
    </row>
    <row r="11" spans="1:17" s="2" customFormat="1" ht="24" customHeight="1" x14ac:dyDescent="0.25">
      <c r="A11" s="6"/>
      <c r="B11" s="46" t="s">
        <v>146</v>
      </c>
      <c r="C11" s="204">
        <v>1217</v>
      </c>
      <c r="D11" s="42">
        <v>1466</v>
      </c>
      <c r="E11" s="163">
        <f t="shared" si="0"/>
        <v>1163</v>
      </c>
      <c r="F11" s="43">
        <f>114+7</f>
        <v>121</v>
      </c>
      <c r="G11" s="44">
        <v>94</v>
      </c>
      <c r="H11" s="44">
        <v>113</v>
      </c>
      <c r="I11" s="44">
        <v>83</v>
      </c>
      <c r="J11" s="44">
        <v>82</v>
      </c>
      <c r="K11" s="44">
        <v>125</v>
      </c>
      <c r="L11" s="44">
        <v>98</v>
      </c>
      <c r="M11" s="44">
        <v>61</v>
      </c>
      <c r="N11" s="44">
        <v>132</v>
      </c>
      <c r="O11" s="44">
        <v>77</v>
      </c>
      <c r="P11" s="44">
        <v>61</v>
      </c>
      <c r="Q11" s="45">
        <v>116</v>
      </c>
    </row>
    <row r="12" spans="1:17" s="2" customFormat="1" ht="24" customHeight="1" x14ac:dyDescent="0.25">
      <c r="A12" s="6"/>
      <c r="B12" s="47" t="s">
        <v>148</v>
      </c>
      <c r="C12" s="204">
        <v>1148</v>
      </c>
      <c r="D12" s="34">
        <v>1387</v>
      </c>
      <c r="E12" s="160">
        <f t="shared" si="0"/>
        <v>1101</v>
      </c>
      <c r="F12" s="30">
        <v>114</v>
      </c>
      <c r="G12" s="31">
        <v>89</v>
      </c>
      <c r="H12" s="31">
        <v>109</v>
      </c>
      <c r="I12" s="31">
        <v>82</v>
      </c>
      <c r="J12" s="31">
        <v>81</v>
      </c>
      <c r="K12" s="31">
        <v>122</v>
      </c>
      <c r="L12" s="31">
        <v>94</v>
      </c>
      <c r="M12" s="31">
        <v>58</v>
      </c>
      <c r="N12" s="31">
        <v>120</v>
      </c>
      <c r="O12" s="31">
        <v>73</v>
      </c>
      <c r="P12" s="31">
        <v>58</v>
      </c>
      <c r="Q12" s="32">
        <v>101</v>
      </c>
    </row>
    <row r="13" spans="1:17" x14ac:dyDescent="0.3">
      <c r="A13" s="5"/>
      <c r="B13" s="1093" t="s">
        <v>20</v>
      </c>
      <c r="C13" s="1094"/>
      <c r="D13" s="1094"/>
      <c r="E13" s="1094"/>
      <c r="F13" s="1094"/>
      <c r="G13" s="1094"/>
      <c r="H13" s="1094"/>
      <c r="I13" s="1094"/>
      <c r="J13" s="1094"/>
      <c r="K13" s="1094"/>
      <c r="L13" s="1094"/>
      <c r="M13" s="1094"/>
      <c r="N13" s="1094"/>
      <c r="O13" s="1094"/>
      <c r="P13" s="1094"/>
      <c r="Q13" s="1095"/>
    </row>
    <row r="14" spans="1:17" s="2" customFormat="1" ht="24" customHeight="1" x14ac:dyDescent="0.25">
      <c r="A14" s="6"/>
      <c r="B14" s="21" t="s">
        <v>21</v>
      </c>
      <c r="C14" s="1104"/>
      <c r="D14" s="1105"/>
      <c r="E14" s="1115"/>
      <c r="F14" s="24">
        <f>SUM(F15:F16)</f>
        <v>168</v>
      </c>
      <c r="G14" s="25">
        <f>SUM(G15:G16)</f>
        <v>168</v>
      </c>
      <c r="H14" s="222">
        <f>SUM(H15:H16)</f>
        <v>171</v>
      </c>
      <c r="I14" s="222">
        <f t="shared" ref="I14:P14" si="1">SUM(I15:I16)</f>
        <v>176</v>
      </c>
      <c r="J14" s="222">
        <f t="shared" si="1"/>
        <v>176</v>
      </c>
      <c r="K14" s="222">
        <f t="shared" si="1"/>
        <v>171</v>
      </c>
      <c r="L14" s="222">
        <f t="shared" si="1"/>
        <v>177</v>
      </c>
      <c r="M14" s="222">
        <f t="shared" si="1"/>
        <v>179</v>
      </c>
      <c r="N14" s="222">
        <f>SUM(N15:N16)</f>
        <v>187</v>
      </c>
      <c r="O14" s="222">
        <f t="shared" si="1"/>
        <v>193</v>
      </c>
      <c r="P14" s="222">
        <f t="shared" si="1"/>
        <v>206</v>
      </c>
      <c r="Q14" s="267">
        <f>SUM(Q15:Q16)</f>
        <v>203</v>
      </c>
    </row>
    <row r="15" spans="1:17" s="2" customFormat="1" ht="24" customHeight="1" x14ac:dyDescent="0.25">
      <c r="A15" s="6"/>
      <c r="B15" s="185" t="s">
        <v>22</v>
      </c>
      <c r="C15" s="1104"/>
      <c r="D15" s="1105"/>
      <c r="E15" s="1115"/>
      <c r="F15" s="43">
        <v>89</v>
      </c>
      <c r="G15" s="44">
        <v>89</v>
      </c>
      <c r="H15" s="44">
        <v>92</v>
      </c>
      <c r="I15" s="44">
        <v>93</v>
      </c>
      <c r="J15" s="44">
        <v>97</v>
      </c>
      <c r="K15" s="44">
        <v>94</v>
      </c>
      <c r="L15" s="44">
        <v>98</v>
      </c>
      <c r="M15" s="44">
        <v>99</v>
      </c>
      <c r="N15" s="44">
        <v>104</v>
      </c>
      <c r="O15" s="44">
        <v>105</v>
      </c>
      <c r="P15" s="44">
        <v>116</v>
      </c>
      <c r="Q15" s="45">
        <v>117</v>
      </c>
    </row>
    <row r="16" spans="1:17" s="2" customFormat="1" ht="24" customHeight="1" x14ac:dyDescent="0.25">
      <c r="A16" s="6"/>
      <c r="B16" s="185" t="s">
        <v>23</v>
      </c>
      <c r="C16" s="1104"/>
      <c r="D16" s="1105"/>
      <c r="E16" s="1115"/>
      <c r="F16" s="43">
        <v>79</v>
      </c>
      <c r="G16" s="44">
        <v>79</v>
      </c>
      <c r="H16" s="44">
        <v>79</v>
      </c>
      <c r="I16" s="44">
        <v>83</v>
      </c>
      <c r="J16" s="44">
        <v>79</v>
      </c>
      <c r="K16" s="44">
        <v>77</v>
      </c>
      <c r="L16" s="44">
        <v>79</v>
      </c>
      <c r="M16" s="44">
        <v>80</v>
      </c>
      <c r="N16" s="44">
        <v>83</v>
      </c>
      <c r="O16" s="44">
        <v>88</v>
      </c>
      <c r="P16" s="44">
        <v>90</v>
      </c>
      <c r="Q16" s="45">
        <v>86</v>
      </c>
    </row>
    <row r="17" spans="1:18" s="2" customFormat="1" ht="24" customHeight="1" x14ac:dyDescent="0.25">
      <c r="A17" s="6"/>
      <c r="B17" s="185" t="s">
        <v>25</v>
      </c>
      <c r="C17" s="1104"/>
      <c r="D17" s="1105"/>
      <c r="E17" s="1115"/>
      <c r="F17" s="43">
        <v>88</v>
      </c>
      <c r="G17" s="44">
        <v>84</v>
      </c>
      <c r="H17" s="44">
        <v>89</v>
      </c>
      <c r="I17" s="44">
        <v>92</v>
      </c>
      <c r="J17" s="44">
        <v>86</v>
      </c>
      <c r="K17" s="44">
        <v>76</v>
      </c>
      <c r="L17" s="44">
        <v>89</v>
      </c>
      <c r="M17" s="44">
        <v>88</v>
      </c>
      <c r="N17" s="44">
        <v>99</v>
      </c>
      <c r="O17" s="44">
        <v>95</v>
      </c>
      <c r="P17" s="44">
        <v>102</v>
      </c>
      <c r="Q17" s="45">
        <v>98</v>
      </c>
    </row>
    <row r="18" spans="1:18" s="2" customFormat="1" ht="24" customHeight="1" x14ac:dyDescent="0.25">
      <c r="A18" s="6"/>
      <c r="B18" s="185" t="s">
        <v>24</v>
      </c>
      <c r="C18" s="1104"/>
      <c r="D18" s="1105"/>
      <c r="E18" s="1115"/>
      <c r="F18" s="43">
        <v>44</v>
      </c>
      <c r="G18" s="44">
        <v>46</v>
      </c>
      <c r="H18" s="44">
        <v>43</v>
      </c>
      <c r="I18" s="44">
        <v>46</v>
      </c>
      <c r="J18" s="44">
        <v>55</v>
      </c>
      <c r="K18" s="44">
        <v>58</v>
      </c>
      <c r="L18" s="44">
        <v>51</v>
      </c>
      <c r="M18" s="44">
        <v>55</v>
      </c>
      <c r="N18" s="44">
        <v>54</v>
      </c>
      <c r="O18" s="44">
        <v>56</v>
      </c>
      <c r="P18" s="44">
        <v>56</v>
      </c>
      <c r="Q18" s="45">
        <v>54</v>
      </c>
    </row>
    <row r="19" spans="1:18" s="2" customFormat="1" ht="24" customHeight="1" x14ac:dyDescent="0.25">
      <c r="A19" s="6"/>
      <c r="B19" s="185" t="s">
        <v>26</v>
      </c>
      <c r="C19" s="1104"/>
      <c r="D19" s="1105"/>
      <c r="E19" s="1115"/>
      <c r="F19" s="43">
        <v>36</v>
      </c>
      <c r="G19" s="44">
        <v>38</v>
      </c>
      <c r="H19" s="44">
        <v>39</v>
      </c>
      <c r="I19" s="44">
        <v>38</v>
      </c>
      <c r="J19" s="44">
        <v>35</v>
      </c>
      <c r="K19" s="44">
        <v>37</v>
      </c>
      <c r="L19" s="44">
        <v>37</v>
      </c>
      <c r="M19" s="44">
        <v>36</v>
      </c>
      <c r="N19" s="44">
        <v>34</v>
      </c>
      <c r="O19" s="44">
        <v>42</v>
      </c>
      <c r="P19" s="44">
        <v>48</v>
      </c>
      <c r="Q19" s="45">
        <v>51</v>
      </c>
    </row>
    <row r="20" spans="1:18" s="2" customFormat="1" ht="37.5" x14ac:dyDescent="0.25">
      <c r="A20" s="6"/>
      <c r="B20" s="49" t="s">
        <v>121</v>
      </c>
      <c r="C20" s="1156"/>
      <c r="D20" s="1157"/>
      <c r="E20" s="1158"/>
      <c r="F20" s="43">
        <v>4</v>
      </c>
      <c r="G20" s="44">
        <v>2</v>
      </c>
      <c r="H20" s="44">
        <v>6</v>
      </c>
      <c r="I20" s="44">
        <v>2</v>
      </c>
      <c r="J20" s="44">
        <v>6</v>
      </c>
      <c r="K20" s="44">
        <v>7</v>
      </c>
      <c r="L20" s="44">
        <v>5</v>
      </c>
      <c r="M20" s="44">
        <v>5</v>
      </c>
      <c r="N20" s="44">
        <v>5</v>
      </c>
      <c r="O20" s="44">
        <v>6</v>
      </c>
      <c r="P20" s="44">
        <v>5</v>
      </c>
      <c r="Q20" s="45">
        <v>6</v>
      </c>
    </row>
    <row r="21" spans="1:18" s="2" customFormat="1" ht="24" customHeight="1" x14ac:dyDescent="0.25">
      <c r="A21" s="6"/>
      <c r="B21" s="46" t="s">
        <v>111</v>
      </c>
      <c r="C21" s="1159"/>
      <c r="D21" s="1160"/>
      <c r="E21" s="162">
        <f>SUM(F21:Q21)</f>
        <v>63</v>
      </c>
      <c r="F21" s="43">
        <v>11</v>
      </c>
      <c r="G21" s="44">
        <v>1</v>
      </c>
      <c r="H21" s="44">
        <f>H14-G14</f>
        <v>3</v>
      </c>
      <c r="I21" s="44">
        <f t="shared" ref="I21:R21" si="2">I14-H14</f>
        <v>5</v>
      </c>
      <c r="J21" s="44">
        <f t="shared" si="2"/>
        <v>0</v>
      </c>
      <c r="K21" s="44">
        <v>5</v>
      </c>
      <c r="L21" s="44">
        <f t="shared" si="2"/>
        <v>6</v>
      </c>
      <c r="M21" s="44">
        <f t="shared" si="2"/>
        <v>2</v>
      </c>
      <c r="N21" s="44">
        <f t="shared" si="2"/>
        <v>8</v>
      </c>
      <c r="O21" s="44">
        <f t="shared" si="2"/>
        <v>6</v>
      </c>
      <c r="P21" s="44">
        <f t="shared" si="2"/>
        <v>13</v>
      </c>
      <c r="Q21" s="44">
        <v>3</v>
      </c>
      <c r="R21" s="44">
        <f t="shared" si="2"/>
        <v>-203</v>
      </c>
    </row>
    <row r="22" spans="1:18" s="2" customFormat="1" ht="24" customHeight="1" x14ac:dyDescent="0.25">
      <c r="A22" s="6"/>
      <c r="B22" s="46" t="s">
        <v>138</v>
      </c>
      <c r="C22" s="1106"/>
      <c r="D22" s="1107"/>
      <c r="E22" s="164">
        <f>SUM(F22:Q22)</f>
        <v>77</v>
      </c>
      <c r="F22" s="30">
        <f>SUM(F24:F29)</f>
        <v>10</v>
      </c>
      <c r="G22" s="232">
        <f>SUM(G24:G29)</f>
        <v>8</v>
      </c>
      <c r="H22" s="234">
        <f t="shared" ref="H22:P22" si="3">SUM(H24:H29)</f>
        <v>4</v>
      </c>
      <c r="I22" s="234">
        <f t="shared" si="3"/>
        <v>4</v>
      </c>
      <c r="J22" s="234">
        <f t="shared" si="3"/>
        <v>7</v>
      </c>
      <c r="K22" s="234">
        <f t="shared" si="3"/>
        <v>10</v>
      </c>
      <c r="L22" s="234">
        <f t="shared" si="3"/>
        <v>5</v>
      </c>
      <c r="M22" s="234">
        <f t="shared" si="3"/>
        <v>8</v>
      </c>
      <c r="N22" s="234">
        <f t="shared" si="3"/>
        <v>7</v>
      </c>
      <c r="O22" s="234">
        <f t="shared" si="3"/>
        <v>3</v>
      </c>
      <c r="P22" s="234">
        <f t="shared" si="3"/>
        <v>3</v>
      </c>
      <c r="Q22" s="269">
        <f>SUM(Q24:Q29)</f>
        <v>8</v>
      </c>
    </row>
    <row r="23" spans="1:18" s="2" customFormat="1" ht="24" customHeight="1" x14ac:dyDescent="0.25">
      <c r="A23" s="6"/>
      <c r="B23" s="186" t="s">
        <v>112</v>
      </c>
      <c r="C23" s="56"/>
      <c r="D23" s="57"/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270"/>
    </row>
    <row r="24" spans="1:18" s="2" customFormat="1" ht="24" customHeight="1" x14ac:dyDescent="0.25">
      <c r="A24" s="6"/>
      <c r="B24" s="186" t="s">
        <v>113</v>
      </c>
      <c r="C24" s="1108"/>
      <c r="D24" s="1109"/>
      <c r="E24" s="161">
        <f t="shared" ref="E24:E29" si="4">SUM(F24:Q24)</f>
        <v>28</v>
      </c>
      <c r="F24" s="24">
        <v>6</v>
      </c>
      <c r="G24" s="229">
        <v>6</v>
      </c>
      <c r="H24" s="25">
        <v>2</v>
      </c>
      <c r="I24" s="25">
        <v>0</v>
      </c>
      <c r="J24" s="25">
        <v>0</v>
      </c>
      <c r="K24" s="25">
        <v>1</v>
      </c>
      <c r="L24" s="25">
        <v>2</v>
      </c>
      <c r="M24" s="25">
        <v>8</v>
      </c>
      <c r="N24" s="25">
        <v>2</v>
      </c>
      <c r="O24" s="25">
        <v>0</v>
      </c>
      <c r="P24" s="25">
        <v>1</v>
      </c>
      <c r="Q24" s="202">
        <v>0</v>
      </c>
    </row>
    <row r="25" spans="1:18" s="2" customFormat="1" ht="24" customHeight="1" x14ac:dyDescent="0.25">
      <c r="A25" s="6"/>
      <c r="B25" s="186" t="s">
        <v>139</v>
      </c>
      <c r="C25" s="1108"/>
      <c r="D25" s="1109"/>
      <c r="E25" s="161">
        <f t="shared" si="4"/>
        <v>13</v>
      </c>
      <c r="F25" s="24">
        <v>1</v>
      </c>
      <c r="G25" s="229">
        <v>0</v>
      </c>
      <c r="H25" s="25">
        <v>0</v>
      </c>
      <c r="I25" s="25">
        <v>0</v>
      </c>
      <c r="J25" s="25">
        <v>2</v>
      </c>
      <c r="K25" s="25">
        <v>5</v>
      </c>
      <c r="L25" s="25">
        <v>1</v>
      </c>
      <c r="M25" s="25">
        <v>0</v>
      </c>
      <c r="N25" s="25">
        <v>0</v>
      </c>
      <c r="O25" s="25">
        <v>0</v>
      </c>
      <c r="P25" s="25">
        <v>0</v>
      </c>
      <c r="Q25" s="202">
        <v>4</v>
      </c>
    </row>
    <row r="26" spans="1:18" s="2" customFormat="1" ht="24" customHeight="1" x14ac:dyDescent="0.25">
      <c r="A26" s="6"/>
      <c r="B26" s="186" t="s">
        <v>114</v>
      </c>
      <c r="C26" s="1108"/>
      <c r="D26" s="1109"/>
      <c r="E26" s="161">
        <f t="shared" si="4"/>
        <v>2</v>
      </c>
      <c r="F26" s="43">
        <v>0</v>
      </c>
      <c r="G26" s="229">
        <v>0</v>
      </c>
      <c r="H26" s="44">
        <v>0</v>
      </c>
      <c r="I26" s="44">
        <v>1</v>
      </c>
      <c r="J26" s="44">
        <v>1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202">
        <v>0</v>
      </c>
    </row>
    <row r="27" spans="1:18" s="2" customFormat="1" ht="24" customHeight="1" x14ac:dyDescent="0.25">
      <c r="A27" s="6"/>
      <c r="B27" s="186" t="s">
        <v>115</v>
      </c>
      <c r="C27" s="1108"/>
      <c r="D27" s="1109"/>
      <c r="E27" s="161">
        <f t="shared" si="4"/>
        <v>18</v>
      </c>
      <c r="F27" s="43">
        <v>1</v>
      </c>
      <c r="G27" s="229">
        <v>2</v>
      </c>
      <c r="H27" s="44">
        <v>1</v>
      </c>
      <c r="I27" s="44">
        <v>1</v>
      </c>
      <c r="J27" s="44">
        <v>4</v>
      </c>
      <c r="K27" s="44">
        <v>3</v>
      </c>
      <c r="L27" s="44">
        <v>2</v>
      </c>
      <c r="M27" s="44">
        <v>0</v>
      </c>
      <c r="N27" s="44">
        <v>1</v>
      </c>
      <c r="O27" s="44">
        <v>0</v>
      </c>
      <c r="P27" s="44">
        <v>0</v>
      </c>
      <c r="Q27" s="202">
        <v>3</v>
      </c>
    </row>
    <row r="28" spans="1:18" s="2" customFormat="1" ht="24" customHeight="1" x14ac:dyDescent="0.25">
      <c r="A28" s="6"/>
      <c r="B28" s="186" t="s">
        <v>117</v>
      </c>
      <c r="C28" s="1108"/>
      <c r="D28" s="1109"/>
      <c r="E28" s="161">
        <f t="shared" si="4"/>
        <v>16</v>
      </c>
      <c r="F28" s="43">
        <v>2</v>
      </c>
      <c r="G28" s="229">
        <v>0</v>
      </c>
      <c r="H28" s="44">
        <v>1</v>
      </c>
      <c r="I28" s="44">
        <v>2</v>
      </c>
      <c r="J28" s="44">
        <v>0</v>
      </c>
      <c r="K28" s="44">
        <v>1</v>
      </c>
      <c r="L28" s="44">
        <v>0</v>
      </c>
      <c r="M28" s="44">
        <v>0</v>
      </c>
      <c r="N28" s="44">
        <v>4</v>
      </c>
      <c r="O28" s="44">
        <v>3</v>
      </c>
      <c r="P28" s="44">
        <v>2</v>
      </c>
      <c r="Q28" s="202">
        <v>1</v>
      </c>
    </row>
    <row r="29" spans="1:18" s="2" customFormat="1" ht="24" customHeight="1" x14ac:dyDescent="0.25">
      <c r="A29" s="6"/>
      <c r="B29" s="246" t="s">
        <v>116</v>
      </c>
      <c r="C29" s="1110"/>
      <c r="D29" s="1111"/>
      <c r="E29" s="250">
        <f t="shared" si="4"/>
        <v>0</v>
      </c>
      <c r="F29" s="66">
        <v>0</v>
      </c>
      <c r="G29" s="24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249">
        <v>0</v>
      </c>
    </row>
    <row r="30" spans="1:18" x14ac:dyDescent="0.3">
      <c r="A30" s="5"/>
      <c r="B30" s="1112" t="s">
        <v>120</v>
      </c>
      <c r="C30" s="1113"/>
      <c r="D30" s="1113"/>
      <c r="E30" s="1113"/>
      <c r="F30" s="1113"/>
      <c r="G30" s="1113"/>
      <c r="H30" s="1113"/>
      <c r="I30" s="1113"/>
      <c r="J30" s="1113"/>
      <c r="K30" s="1113"/>
      <c r="L30" s="1113"/>
      <c r="M30" s="1113"/>
      <c r="N30" s="1113"/>
      <c r="O30" s="1113"/>
      <c r="P30" s="1113"/>
      <c r="Q30" s="1114"/>
    </row>
    <row r="31" spans="1:18" s="2" customFormat="1" ht="24" customHeight="1" x14ac:dyDescent="0.25">
      <c r="A31" s="6"/>
      <c r="B31" s="21" t="s">
        <v>27</v>
      </c>
      <c r="C31" s="61">
        <v>6</v>
      </c>
      <c r="D31" s="62">
        <v>7</v>
      </c>
      <c r="E31" s="161">
        <f>SUM(F31:Q31)</f>
        <v>5</v>
      </c>
      <c r="F31" s="24">
        <v>0</v>
      </c>
      <c r="G31" s="229">
        <v>0</v>
      </c>
      <c r="H31" s="25">
        <v>0</v>
      </c>
      <c r="I31" s="25">
        <v>0</v>
      </c>
      <c r="J31" s="25">
        <v>2</v>
      </c>
      <c r="K31" s="25">
        <v>1</v>
      </c>
      <c r="L31" s="25">
        <v>0</v>
      </c>
      <c r="M31" s="25">
        <v>0</v>
      </c>
      <c r="N31" s="253">
        <v>1</v>
      </c>
      <c r="O31" s="25">
        <v>0</v>
      </c>
      <c r="P31" s="25">
        <v>0</v>
      </c>
      <c r="Q31" s="201">
        <v>1</v>
      </c>
    </row>
    <row r="32" spans="1:18" s="2" customFormat="1" ht="24" customHeight="1" x14ac:dyDescent="0.25">
      <c r="A32" s="6"/>
      <c r="B32" s="46" t="s">
        <v>28</v>
      </c>
      <c r="C32" s="51">
        <v>14</v>
      </c>
      <c r="D32" s="52">
        <v>33</v>
      </c>
      <c r="E32" s="162">
        <f>SUM(F32:Q32)</f>
        <v>13</v>
      </c>
      <c r="F32" s="43">
        <v>1</v>
      </c>
      <c r="G32" s="229">
        <v>2</v>
      </c>
      <c r="H32" s="44">
        <v>1</v>
      </c>
      <c r="I32" s="44">
        <v>1</v>
      </c>
      <c r="J32" s="44">
        <v>2</v>
      </c>
      <c r="K32" s="44">
        <v>2</v>
      </c>
      <c r="L32" s="44">
        <v>2</v>
      </c>
      <c r="M32" s="44">
        <v>0</v>
      </c>
      <c r="N32" s="25">
        <v>0</v>
      </c>
      <c r="O32" s="44">
        <v>0</v>
      </c>
      <c r="P32" s="44">
        <v>0</v>
      </c>
      <c r="Q32" s="202">
        <v>2</v>
      </c>
    </row>
    <row r="33" spans="1:17" s="2" customFormat="1" ht="24" customHeight="1" x14ac:dyDescent="0.25">
      <c r="A33" s="6"/>
      <c r="B33" s="46" t="s">
        <v>34</v>
      </c>
      <c r="C33" s="53">
        <v>29</v>
      </c>
      <c r="D33" s="54">
        <v>24</v>
      </c>
      <c r="E33" s="164">
        <f>SUM(F33:Q33)</f>
        <v>36</v>
      </c>
      <c r="F33" s="43">
        <v>2</v>
      </c>
      <c r="G33" s="44">
        <v>5</v>
      </c>
      <c r="H33" s="44">
        <v>7</v>
      </c>
      <c r="I33" s="44">
        <v>1</v>
      </c>
      <c r="J33" s="44">
        <v>3</v>
      </c>
      <c r="K33" s="44">
        <v>5</v>
      </c>
      <c r="L33" s="44">
        <v>0</v>
      </c>
      <c r="M33" s="44">
        <v>3</v>
      </c>
      <c r="N33" s="44">
        <v>2</v>
      </c>
      <c r="O33" s="44">
        <v>5</v>
      </c>
      <c r="P33" s="44">
        <v>3</v>
      </c>
      <c r="Q33" s="202">
        <v>0</v>
      </c>
    </row>
    <row r="34" spans="1:17" s="2" customFormat="1" ht="24" customHeight="1" x14ac:dyDescent="0.25">
      <c r="A34" s="6"/>
      <c r="B34" s="46" t="s">
        <v>29</v>
      </c>
      <c r="C34" s="1104"/>
      <c r="D34" s="1105"/>
      <c r="E34" s="1115"/>
      <c r="F34" s="43">
        <v>20</v>
      </c>
      <c r="G34" s="44">
        <v>20</v>
      </c>
      <c r="H34" s="44">
        <v>20</v>
      </c>
      <c r="I34" s="44">
        <v>24</v>
      </c>
      <c r="J34" s="44">
        <v>21</v>
      </c>
      <c r="K34" s="44">
        <v>17</v>
      </c>
      <c r="L34" s="44">
        <v>20</v>
      </c>
      <c r="M34" s="44">
        <v>23</v>
      </c>
      <c r="N34" s="44">
        <v>22</v>
      </c>
      <c r="O34" s="44">
        <v>33</v>
      </c>
      <c r="P34" s="44">
        <v>24</v>
      </c>
      <c r="Q34" s="202">
        <v>28</v>
      </c>
    </row>
    <row r="35" spans="1:17" s="2" customFormat="1" ht="24" customHeight="1" x14ac:dyDescent="0.25">
      <c r="A35" s="6"/>
      <c r="B35" s="46" t="s">
        <v>30</v>
      </c>
      <c r="C35" s="1104"/>
      <c r="D35" s="1105"/>
      <c r="E35" s="1115"/>
      <c r="F35" s="195">
        <v>14</v>
      </c>
      <c r="G35" s="195">
        <v>15</v>
      </c>
      <c r="H35" s="195">
        <v>16</v>
      </c>
      <c r="I35" s="239">
        <v>14</v>
      </c>
      <c r="J35" s="195">
        <v>15</v>
      </c>
      <c r="K35" s="195">
        <v>17</v>
      </c>
      <c r="L35" s="195">
        <v>18</v>
      </c>
      <c r="M35" s="195">
        <v>20</v>
      </c>
      <c r="N35" s="195">
        <v>21</v>
      </c>
      <c r="O35" s="195">
        <v>22</v>
      </c>
      <c r="P35" s="44">
        <v>21</v>
      </c>
      <c r="Q35" s="202">
        <v>22</v>
      </c>
    </row>
    <row r="36" spans="1:17" s="2" customFormat="1" ht="24" customHeight="1" x14ac:dyDescent="0.25">
      <c r="A36" s="6"/>
      <c r="B36" s="46" t="s">
        <v>36</v>
      </c>
      <c r="C36" s="61">
        <v>46</v>
      </c>
      <c r="D36" s="62">
        <v>52</v>
      </c>
      <c r="E36" s="161">
        <f>SUM(F36:Q36)</f>
        <v>70</v>
      </c>
      <c r="F36" s="43">
        <v>5</v>
      </c>
      <c r="G36" s="44">
        <v>6</v>
      </c>
      <c r="H36" s="44">
        <v>6</v>
      </c>
      <c r="I36" s="44">
        <v>4</v>
      </c>
      <c r="J36" s="44">
        <v>5</v>
      </c>
      <c r="K36" s="44">
        <v>9</v>
      </c>
      <c r="L36" s="44">
        <v>5</v>
      </c>
      <c r="M36" s="44">
        <v>6</v>
      </c>
      <c r="N36" s="44">
        <v>6</v>
      </c>
      <c r="O36" s="44">
        <v>6</v>
      </c>
      <c r="P36" s="44">
        <v>6</v>
      </c>
      <c r="Q36" s="45">
        <v>6</v>
      </c>
    </row>
    <row r="37" spans="1:17" s="2" customFormat="1" ht="24" customHeight="1" x14ac:dyDescent="0.25">
      <c r="A37" s="6"/>
      <c r="B37" s="27" t="s">
        <v>35</v>
      </c>
      <c r="C37" s="53">
        <v>401</v>
      </c>
      <c r="D37" s="54">
        <v>269</v>
      </c>
      <c r="E37" s="164">
        <f>SUM(F37:Q37)</f>
        <v>300</v>
      </c>
      <c r="F37" s="30">
        <v>0</v>
      </c>
      <c r="G37" s="31">
        <v>17</v>
      </c>
      <c r="H37" s="31">
        <v>28</v>
      </c>
      <c r="I37" s="31">
        <v>27</v>
      </c>
      <c r="J37" s="31">
        <v>28</v>
      </c>
      <c r="K37" s="31">
        <v>28</v>
      </c>
      <c r="L37" s="31">
        <v>23</v>
      </c>
      <c r="M37" s="31">
        <v>25</v>
      </c>
      <c r="N37" s="31">
        <v>31</v>
      </c>
      <c r="O37" s="31">
        <v>30</v>
      </c>
      <c r="P37" s="31">
        <v>30</v>
      </c>
      <c r="Q37" s="32">
        <v>33</v>
      </c>
    </row>
    <row r="38" spans="1:17" x14ac:dyDescent="0.3">
      <c r="A38" s="5"/>
      <c r="B38" s="1093" t="s">
        <v>31</v>
      </c>
      <c r="C38" s="1094"/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5"/>
    </row>
    <row r="39" spans="1:17" s="2" customFormat="1" ht="24" customHeight="1" x14ac:dyDescent="0.25">
      <c r="A39" s="6"/>
      <c r="B39" s="21" t="s">
        <v>38</v>
      </c>
      <c r="C39" s="1127"/>
      <c r="D39" s="1128"/>
      <c r="E39" s="166">
        <v>56</v>
      </c>
      <c r="F39" s="24">
        <v>50</v>
      </c>
      <c r="G39" s="25">
        <v>50</v>
      </c>
      <c r="H39" s="25">
        <f t="shared" ref="H39:Q39" si="5">G39+SUM(H40:H41)</f>
        <v>50</v>
      </c>
      <c r="I39" s="25">
        <f t="shared" si="5"/>
        <v>50</v>
      </c>
      <c r="J39" s="25">
        <f t="shared" si="5"/>
        <v>53</v>
      </c>
      <c r="K39" s="25">
        <f t="shared" si="5"/>
        <v>53</v>
      </c>
      <c r="L39" s="25">
        <f t="shared" si="5"/>
        <v>54</v>
      </c>
      <c r="M39" s="25">
        <f t="shared" si="5"/>
        <v>52</v>
      </c>
      <c r="N39" s="25">
        <f t="shared" si="5"/>
        <v>54</v>
      </c>
      <c r="O39" s="25">
        <f t="shared" si="5"/>
        <v>57</v>
      </c>
      <c r="P39" s="25">
        <f t="shared" si="5"/>
        <v>57</v>
      </c>
      <c r="Q39" s="25">
        <f t="shared" si="5"/>
        <v>56</v>
      </c>
    </row>
    <row r="40" spans="1:17" s="2" customFormat="1" ht="24" customHeight="1" x14ac:dyDescent="0.25">
      <c r="A40" s="6"/>
      <c r="B40" s="185" t="s">
        <v>140</v>
      </c>
      <c r="C40" s="61">
        <v>8</v>
      </c>
      <c r="D40" s="62"/>
      <c r="E40" s="69"/>
      <c r="F40" s="43">
        <v>0</v>
      </c>
      <c r="G40" s="44">
        <v>0</v>
      </c>
      <c r="H40" s="44">
        <v>1</v>
      </c>
      <c r="I40" s="44">
        <v>1</v>
      </c>
      <c r="J40" s="44">
        <v>3</v>
      </c>
      <c r="K40" s="44">
        <v>2</v>
      </c>
      <c r="L40" s="44">
        <v>1</v>
      </c>
      <c r="M40" s="44">
        <v>0</v>
      </c>
      <c r="N40" s="44">
        <v>2</v>
      </c>
      <c r="O40" s="44">
        <v>3</v>
      </c>
      <c r="P40" s="44">
        <v>0</v>
      </c>
      <c r="Q40" s="45">
        <v>0</v>
      </c>
    </row>
    <row r="41" spans="1:17" s="2" customFormat="1" ht="24" customHeight="1" x14ac:dyDescent="0.25">
      <c r="A41" s="6"/>
      <c r="B41" s="185" t="s">
        <v>141</v>
      </c>
      <c r="C41" s="1154"/>
      <c r="D41" s="1155"/>
      <c r="E41" s="69"/>
      <c r="F41" s="43">
        <v>0</v>
      </c>
      <c r="G41" s="44">
        <v>0</v>
      </c>
      <c r="H41" s="44">
        <v>-1</v>
      </c>
      <c r="I41" s="44">
        <v>-1</v>
      </c>
      <c r="J41" s="44">
        <v>0</v>
      </c>
      <c r="K41" s="44">
        <v>-2</v>
      </c>
      <c r="L41" s="44">
        <v>0</v>
      </c>
      <c r="M41" s="44">
        <v>-2</v>
      </c>
      <c r="N41" s="44">
        <v>0</v>
      </c>
      <c r="O41" s="44">
        <v>0</v>
      </c>
      <c r="P41" s="44">
        <v>0</v>
      </c>
      <c r="Q41" s="45">
        <v>-1</v>
      </c>
    </row>
    <row r="42" spans="1:17" s="2" customFormat="1" ht="24" customHeight="1" x14ac:dyDescent="0.25">
      <c r="A42" s="6"/>
      <c r="B42" s="70" t="s">
        <v>149</v>
      </c>
      <c r="C42" s="1161"/>
      <c r="D42" s="1162"/>
      <c r="E42" s="203"/>
      <c r="F42" s="195">
        <v>14</v>
      </c>
      <c r="G42" s="195">
        <v>14</v>
      </c>
      <c r="H42" s="195">
        <v>14</v>
      </c>
      <c r="I42" s="195">
        <v>14</v>
      </c>
      <c r="J42" s="195">
        <v>14</v>
      </c>
      <c r="K42" s="195">
        <v>14</v>
      </c>
      <c r="L42" s="195">
        <v>14</v>
      </c>
      <c r="M42" s="195">
        <v>7</v>
      </c>
      <c r="N42" s="195">
        <v>7</v>
      </c>
      <c r="O42" s="195">
        <v>3</v>
      </c>
      <c r="P42" s="195">
        <v>3</v>
      </c>
      <c r="Q42" s="201">
        <v>4</v>
      </c>
    </row>
    <row r="43" spans="1:17" s="2" customFormat="1" ht="24" customHeight="1" x14ac:dyDescent="0.25">
      <c r="A43" s="6"/>
      <c r="B43" s="71" t="s">
        <v>37</v>
      </c>
      <c r="C43" s="53">
        <v>42</v>
      </c>
      <c r="D43" s="54">
        <v>34</v>
      </c>
      <c r="E43" s="164">
        <f>SUM(F43:Q43)</f>
        <v>0</v>
      </c>
      <c r="F43" s="30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2">
        <v>0</v>
      </c>
    </row>
    <row r="44" spans="1:17" x14ac:dyDescent="0.3">
      <c r="A44" s="5"/>
      <c r="B44" s="1116" t="s">
        <v>39</v>
      </c>
      <c r="C44" s="1117"/>
      <c r="D44" s="1117"/>
      <c r="E44" s="1117"/>
      <c r="F44" s="1117"/>
      <c r="G44" s="1117"/>
      <c r="H44" s="1117"/>
      <c r="I44" s="1117"/>
      <c r="J44" s="1117"/>
      <c r="K44" s="1117"/>
      <c r="L44" s="1117"/>
      <c r="M44" s="1117"/>
      <c r="N44" s="1117"/>
      <c r="O44" s="1117"/>
      <c r="P44" s="1117"/>
      <c r="Q44" s="1118"/>
    </row>
    <row r="45" spans="1:17" s="2" customFormat="1" ht="24" customHeight="1" x14ac:dyDescent="0.25">
      <c r="A45" s="6"/>
      <c r="B45" s="72" t="s">
        <v>67</v>
      </c>
      <c r="C45" s="73">
        <v>171</v>
      </c>
      <c r="D45" s="40">
        <v>202</v>
      </c>
      <c r="E45" s="159">
        <f t="shared" ref="E45:E50" si="6">SUM(F45:Q45)</f>
        <v>177</v>
      </c>
      <c r="F45" s="74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56</v>
      </c>
      <c r="P45" s="75">
        <f>162-56</f>
        <v>106</v>
      </c>
      <c r="Q45" s="76">
        <f>177-106-56</f>
        <v>15</v>
      </c>
    </row>
    <row r="46" spans="1:17" s="2" customFormat="1" ht="24" customHeight="1" x14ac:dyDescent="0.25">
      <c r="A46" s="6"/>
      <c r="B46" s="185" t="s">
        <v>68</v>
      </c>
      <c r="C46" s="77">
        <v>167</v>
      </c>
      <c r="D46" s="42">
        <v>176</v>
      </c>
      <c r="E46" s="163">
        <f t="shared" si="6"/>
        <v>177</v>
      </c>
      <c r="F46" s="78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162</v>
      </c>
      <c r="Q46" s="80">
        <f>177-162</f>
        <v>15</v>
      </c>
    </row>
    <row r="47" spans="1:17" s="2" customFormat="1" ht="24" customHeight="1" x14ac:dyDescent="0.25">
      <c r="A47" s="6"/>
      <c r="B47" s="70" t="s">
        <v>42</v>
      </c>
      <c r="C47" s="77">
        <v>813</v>
      </c>
      <c r="D47" s="42">
        <v>701</v>
      </c>
      <c r="E47" s="163">
        <f t="shared" si="6"/>
        <v>808</v>
      </c>
      <c r="F47" s="78">
        <v>0</v>
      </c>
      <c r="G47" s="79">
        <v>0</v>
      </c>
      <c r="H47" s="79">
        <v>0</v>
      </c>
      <c r="I47" s="79">
        <v>808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80">
        <v>0</v>
      </c>
    </row>
    <row r="48" spans="1:17" s="2" customFormat="1" ht="24" customHeight="1" x14ac:dyDescent="0.25">
      <c r="A48" s="6"/>
      <c r="B48" s="185" t="s">
        <v>156</v>
      </c>
      <c r="C48" s="77">
        <v>672</v>
      </c>
      <c r="D48" s="42">
        <v>648</v>
      </c>
      <c r="E48" s="163">
        <f t="shared" si="6"/>
        <v>623</v>
      </c>
      <c r="F48" s="78">
        <v>0</v>
      </c>
      <c r="G48" s="79">
        <v>0</v>
      </c>
      <c r="H48" s="79">
        <v>0</v>
      </c>
      <c r="I48" s="79">
        <v>623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80">
        <v>0</v>
      </c>
    </row>
    <row r="49" spans="1:17" s="2" customFormat="1" ht="24" customHeight="1" x14ac:dyDescent="0.25">
      <c r="A49" s="6"/>
      <c r="B49" s="70" t="s">
        <v>41</v>
      </c>
      <c r="C49" s="77">
        <v>1158</v>
      </c>
      <c r="D49" s="42">
        <v>1228</v>
      </c>
      <c r="E49" s="163">
        <f t="shared" si="6"/>
        <v>1145</v>
      </c>
      <c r="F49" s="78">
        <v>0</v>
      </c>
      <c r="G49" s="79">
        <v>0</v>
      </c>
      <c r="H49" s="79">
        <v>0</v>
      </c>
      <c r="I49" s="79">
        <v>1035</v>
      </c>
      <c r="J49" s="79">
        <f>1092-1035</f>
        <v>57</v>
      </c>
      <c r="K49" s="79">
        <v>53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80">
        <v>0</v>
      </c>
    </row>
    <row r="50" spans="1:17" s="2" customFormat="1" ht="24" customHeight="1" x14ac:dyDescent="0.25">
      <c r="A50" s="6"/>
      <c r="B50" s="188" t="s">
        <v>157</v>
      </c>
      <c r="C50" s="33">
        <v>1106</v>
      </c>
      <c r="D50" s="34">
        <v>1108</v>
      </c>
      <c r="E50" s="160">
        <f t="shared" si="6"/>
        <v>1145</v>
      </c>
      <c r="F50" s="81">
        <v>0</v>
      </c>
      <c r="G50" s="37">
        <v>0</v>
      </c>
      <c r="H50" s="37">
        <v>0</v>
      </c>
      <c r="I50" s="37">
        <v>772</v>
      </c>
      <c r="J50" s="37">
        <f>1091-772</f>
        <v>319</v>
      </c>
      <c r="K50" s="37">
        <v>54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8">
        <v>0</v>
      </c>
    </row>
    <row r="51" spans="1:17" x14ac:dyDescent="0.3">
      <c r="A51" s="5"/>
      <c r="B51" s="1124" t="s">
        <v>43</v>
      </c>
      <c r="C51" s="1125"/>
      <c r="D51" s="1125"/>
      <c r="E51" s="1125"/>
      <c r="F51" s="1125"/>
      <c r="G51" s="1125"/>
      <c r="H51" s="1125"/>
      <c r="I51" s="1125"/>
      <c r="J51" s="1125"/>
      <c r="K51" s="1125"/>
      <c r="L51" s="1125"/>
      <c r="M51" s="1125"/>
      <c r="N51" s="1125"/>
      <c r="O51" s="1125"/>
      <c r="P51" s="1125"/>
      <c r="Q51" s="1126"/>
    </row>
    <row r="52" spans="1:17" x14ac:dyDescent="0.3">
      <c r="A52" s="5"/>
      <c r="B52" s="1116" t="s">
        <v>44</v>
      </c>
      <c r="C52" s="1117"/>
      <c r="D52" s="1117"/>
      <c r="E52" s="1117"/>
      <c r="F52" s="1117"/>
      <c r="G52" s="1117"/>
      <c r="H52" s="1117"/>
      <c r="I52" s="1117"/>
      <c r="J52" s="1117"/>
      <c r="K52" s="1117"/>
      <c r="L52" s="1117"/>
      <c r="M52" s="1117"/>
      <c r="N52" s="1117"/>
      <c r="O52" s="1117"/>
      <c r="P52" s="1117"/>
      <c r="Q52" s="1118"/>
    </row>
    <row r="53" spans="1:17" s="2" customFormat="1" ht="24" customHeight="1" x14ac:dyDescent="0.25">
      <c r="A53" s="6"/>
      <c r="B53" s="72" t="s">
        <v>45</v>
      </c>
      <c r="C53" s="61">
        <v>235</v>
      </c>
      <c r="D53" s="62">
        <v>253</v>
      </c>
      <c r="E53" s="161">
        <f>SUM(F53:Q53)</f>
        <v>243</v>
      </c>
      <c r="F53" s="24">
        <v>18</v>
      </c>
      <c r="G53" s="25">
        <v>18</v>
      </c>
      <c r="H53" s="25">
        <v>19</v>
      </c>
      <c r="I53" s="25">
        <v>22</v>
      </c>
      <c r="J53" s="25">
        <v>17</v>
      </c>
      <c r="K53" s="25">
        <v>15</v>
      </c>
      <c r="L53" s="25">
        <v>22</v>
      </c>
      <c r="M53" s="25">
        <v>13</v>
      </c>
      <c r="N53" s="25">
        <v>32</v>
      </c>
      <c r="O53" s="25">
        <v>24</v>
      </c>
      <c r="P53" s="25">
        <v>21</v>
      </c>
      <c r="Q53" s="26">
        <v>22</v>
      </c>
    </row>
    <row r="54" spans="1:17" s="2" customFormat="1" ht="24" customHeight="1" x14ac:dyDescent="0.25">
      <c r="A54" s="6"/>
      <c r="B54" s="70" t="s">
        <v>49</v>
      </c>
      <c r="C54" s="1154"/>
      <c r="D54" s="1155"/>
      <c r="E54" s="162">
        <f>SUM(F54:Q54)</f>
        <v>37</v>
      </c>
      <c r="F54" s="43">
        <v>3</v>
      </c>
      <c r="G54" s="44">
        <v>3</v>
      </c>
      <c r="H54" s="44">
        <v>2</v>
      </c>
      <c r="I54" s="44">
        <v>6</v>
      </c>
      <c r="J54" s="44">
        <v>3</v>
      </c>
      <c r="K54" s="44">
        <v>1</v>
      </c>
      <c r="L54" s="44">
        <v>2</v>
      </c>
      <c r="M54" s="44">
        <v>4</v>
      </c>
      <c r="N54" s="44">
        <v>4</v>
      </c>
      <c r="O54" s="44">
        <v>5</v>
      </c>
      <c r="P54" s="44">
        <v>2</v>
      </c>
      <c r="Q54" s="45">
        <v>2</v>
      </c>
    </row>
    <row r="55" spans="1:17" s="2" customFormat="1" ht="24" customHeight="1" x14ac:dyDescent="0.25">
      <c r="A55" s="6"/>
      <c r="B55" s="70" t="s">
        <v>46</v>
      </c>
      <c r="C55" s="1119"/>
      <c r="D55" s="1120"/>
      <c r="E55" s="164">
        <v>67</v>
      </c>
      <c r="F55" s="195">
        <v>51</v>
      </c>
      <c r="G55" s="195">
        <f>F55+SUM(G56:G57)</f>
        <v>46</v>
      </c>
      <c r="H55" s="195">
        <v>49</v>
      </c>
      <c r="I55" s="195">
        <v>58</v>
      </c>
      <c r="J55" s="195">
        <v>48</v>
      </c>
      <c r="K55" s="195">
        <v>34</v>
      </c>
      <c r="L55" s="44">
        <v>47</v>
      </c>
      <c r="M55" s="245" t="s">
        <v>136</v>
      </c>
      <c r="N55" s="79">
        <v>58</v>
      </c>
      <c r="O55" s="79">
        <v>72</v>
      </c>
      <c r="P55" s="79">
        <v>75</v>
      </c>
      <c r="Q55" s="80">
        <v>67</v>
      </c>
    </row>
    <row r="56" spans="1:17" s="2" customFormat="1" ht="24" customHeight="1" x14ac:dyDescent="0.25">
      <c r="A56" s="6"/>
      <c r="B56" s="185" t="s">
        <v>47</v>
      </c>
      <c r="C56" s="1119"/>
      <c r="D56" s="1120"/>
      <c r="E56" s="69"/>
      <c r="F56" s="195">
        <v>0</v>
      </c>
      <c r="G56" s="195">
        <v>18</v>
      </c>
      <c r="H56" s="195">
        <v>19</v>
      </c>
      <c r="I56" s="195">
        <v>7</v>
      </c>
      <c r="J56" s="195">
        <v>1</v>
      </c>
      <c r="K56" s="195">
        <v>15</v>
      </c>
      <c r="L56" s="240">
        <v>5</v>
      </c>
      <c r="M56" s="153" t="s">
        <v>136</v>
      </c>
      <c r="N56" s="79">
        <v>32</v>
      </c>
      <c r="O56" s="79">
        <v>24</v>
      </c>
      <c r="P56" s="79">
        <v>21</v>
      </c>
      <c r="Q56" s="202">
        <v>2</v>
      </c>
    </row>
    <row r="57" spans="1:17" s="2" customFormat="1" ht="24" customHeight="1" x14ac:dyDescent="0.25">
      <c r="A57" s="6"/>
      <c r="B57" s="188" t="s">
        <v>48</v>
      </c>
      <c r="C57" s="1119"/>
      <c r="D57" s="1120"/>
      <c r="E57" s="69"/>
      <c r="F57" s="195">
        <v>-2</v>
      </c>
      <c r="G57" s="195">
        <v>-23</v>
      </c>
      <c r="H57" s="195">
        <v>-12</v>
      </c>
      <c r="I57" s="195">
        <v>-1</v>
      </c>
      <c r="J57" s="195">
        <v>-4</v>
      </c>
      <c r="K57" s="195">
        <v>-2</v>
      </c>
      <c r="L57" s="240">
        <v>-2</v>
      </c>
      <c r="M57" s="153" t="s">
        <v>136</v>
      </c>
      <c r="N57" s="240">
        <v>-13</v>
      </c>
      <c r="O57" s="37">
        <v>-1</v>
      </c>
      <c r="P57" s="240">
        <v>-18</v>
      </c>
      <c r="Q57" s="243">
        <v>0</v>
      </c>
    </row>
    <row r="58" spans="1:17" x14ac:dyDescent="0.3">
      <c r="A58" s="5"/>
      <c r="B58" s="1116" t="s">
        <v>50</v>
      </c>
      <c r="C58" s="1117"/>
      <c r="D58" s="1117"/>
      <c r="E58" s="1117"/>
      <c r="F58" s="1117"/>
      <c r="G58" s="1117"/>
      <c r="H58" s="1117"/>
      <c r="I58" s="1117"/>
      <c r="J58" s="1117"/>
      <c r="K58" s="1117"/>
      <c r="L58" s="1117"/>
      <c r="M58" s="1117"/>
      <c r="N58" s="1117"/>
      <c r="O58" s="1117"/>
      <c r="P58" s="1117"/>
      <c r="Q58" s="1118"/>
    </row>
    <row r="59" spans="1:17" s="2" customFormat="1" ht="24" customHeight="1" x14ac:dyDescent="0.25">
      <c r="A59" s="6"/>
      <c r="B59" s="72" t="s">
        <v>51</v>
      </c>
      <c r="C59" s="1119"/>
      <c r="D59" s="1120"/>
      <c r="E59" s="166">
        <v>83</v>
      </c>
      <c r="F59" s="24">
        <v>77</v>
      </c>
      <c r="G59" s="25">
        <f t="shared" ref="G59:M59" si="7">F59+SUM(G60:G61)</f>
        <v>77</v>
      </c>
      <c r="H59" s="25">
        <f t="shared" si="7"/>
        <v>80</v>
      </c>
      <c r="I59" s="25">
        <f t="shared" si="7"/>
        <v>79</v>
      </c>
      <c r="J59" s="25">
        <f t="shared" si="7"/>
        <v>78</v>
      </c>
      <c r="K59" s="25">
        <f t="shared" si="7"/>
        <v>80</v>
      </c>
      <c r="L59" s="25">
        <f t="shared" si="7"/>
        <v>80</v>
      </c>
      <c r="M59" s="25">
        <f t="shared" si="7"/>
        <v>80</v>
      </c>
      <c r="N59" s="25">
        <v>80</v>
      </c>
      <c r="O59" s="25">
        <v>81</v>
      </c>
      <c r="P59" s="25">
        <v>82</v>
      </c>
      <c r="Q59" s="26">
        <v>83</v>
      </c>
    </row>
    <row r="60" spans="1:17" s="2" customFormat="1" ht="24" customHeight="1" x14ac:dyDescent="0.25">
      <c r="A60" s="6"/>
      <c r="B60" s="185" t="s">
        <v>32</v>
      </c>
      <c r="C60" s="1119"/>
      <c r="D60" s="1120"/>
      <c r="E60" s="69"/>
      <c r="F60" s="43">
        <v>0</v>
      </c>
      <c r="G60" s="44">
        <v>3</v>
      </c>
      <c r="H60" s="44">
        <v>3</v>
      </c>
      <c r="I60" s="44">
        <v>0</v>
      </c>
      <c r="J60" s="44">
        <v>0</v>
      </c>
      <c r="K60" s="44">
        <v>2</v>
      </c>
      <c r="L60" s="44">
        <v>2</v>
      </c>
      <c r="M60" s="44">
        <v>1</v>
      </c>
      <c r="N60" s="44">
        <v>0</v>
      </c>
      <c r="O60" s="44">
        <v>1</v>
      </c>
      <c r="P60" s="44">
        <v>1</v>
      </c>
      <c r="Q60" s="202">
        <v>1</v>
      </c>
    </row>
    <row r="61" spans="1:17" s="2" customFormat="1" ht="24" customHeight="1" x14ac:dyDescent="0.25">
      <c r="A61" s="6"/>
      <c r="B61" s="248" t="s">
        <v>33</v>
      </c>
      <c r="C61" s="1127"/>
      <c r="D61" s="1128"/>
      <c r="E61" s="83"/>
      <c r="F61" s="66">
        <v>0</v>
      </c>
      <c r="G61" s="67">
        <v>-3</v>
      </c>
      <c r="H61" s="67">
        <v>0</v>
      </c>
      <c r="I61" s="67">
        <v>-1</v>
      </c>
      <c r="J61" s="67">
        <v>-1</v>
      </c>
      <c r="K61" s="67">
        <v>0</v>
      </c>
      <c r="L61" s="67">
        <v>-2</v>
      </c>
      <c r="M61" s="67">
        <v>-1</v>
      </c>
      <c r="N61" s="67">
        <v>0</v>
      </c>
      <c r="O61" s="67">
        <v>-1</v>
      </c>
      <c r="P61" s="67">
        <v>0</v>
      </c>
      <c r="Q61" s="249">
        <v>-2</v>
      </c>
    </row>
    <row r="62" spans="1:17" x14ac:dyDescent="0.3">
      <c r="A62" s="5"/>
      <c r="B62" s="1112" t="s">
        <v>52</v>
      </c>
      <c r="C62" s="1113"/>
      <c r="D62" s="1113"/>
      <c r="E62" s="1113"/>
      <c r="F62" s="1113"/>
      <c r="G62" s="1113"/>
      <c r="H62" s="1113"/>
      <c r="I62" s="1113"/>
      <c r="J62" s="1113"/>
      <c r="K62" s="1113"/>
      <c r="L62" s="1113"/>
      <c r="M62" s="1113"/>
      <c r="N62" s="1113"/>
      <c r="O62" s="1113"/>
      <c r="P62" s="1113"/>
      <c r="Q62" s="1114"/>
    </row>
    <row r="63" spans="1:17" s="2" customFormat="1" ht="24" customHeight="1" x14ac:dyDescent="0.25">
      <c r="A63" s="6"/>
      <c r="B63" s="72" t="s">
        <v>53</v>
      </c>
      <c r="C63" s="1119"/>
      <c r="D63" s="1120"/>
      <c r="E63" s="166">
        <v>395</v>
      </c>
      <c r="F63" s="24">
        <v>431</v>
      </c>
      <c r="G63" s="25">
        <f t="shared" ref="G63:Q63" si="8">F63+SUM(G64:G65)</f>
        <v>433</v>
      </c>
      <c r="H63" s="25">
        <f t="shared" si="8"/>
        <v>429</v>
      </c>
      <c r="I63" s="25">
        <f t="shared" si="8"/>
        <v>424</v>
      </c>
      <c r="J63" s="25">
        <f t="shared" si="8"/>
        <v>421</v>
      </c>
      <c r="K63" s="25">
        <f t="shared" si="8"/>
        <v>414</v>
      </c>
      <c r="L63" s="25">
        <f t="shared" si="8"/>
        <v>409</v>
      </c>
      <c r="M63" s="25">
        <f t="shared" si="8"/>
        <v>395</v>
      </c>
      <c r="N63" s="25">
        <f t="shared" si="8"/>
        <v>390</v>
      </c>
      <c r="O63" s="25">
        <f t="shared" si="8"/>
        <v>385</v>
      </c>
      <c r="P63" s="25">
        <f t="shared" si="8"/>
        <v>382</v>
      </c>
      <c r="Q63" s="25">
        <f t="shared" si="8"/>
        <v>395</v>
      </c>
    </row>
    <row r="64" spans="1:17" s="2" customFormat="1" ht="24" customHeight="1" x14ac:dyDescent="0.25">
      <c r="A64" s="6"/>
      <c r="B64" s="185" t="s">
        <v>32</v>
      </c>
      <c r="C64" s="1119"/>
      <c r="D64" s="1120"/>
      <c r="E64" s="69"/>
      <c r="F64" s="43">
        <v>7</v>
      </c>
      <c r="G64" s="44">
        <v>8</v>
      </c>
      <c r="H64" s="44">
        <v>0</v>
      </c>
      <c r="I64" s="44">
        <v>7</v>
      </c>
      <c r="J64" s="44">
        <v>3</v>
      </c>
      <c r="K64" s="44">
        <v>1</v>
      </c>
      <c r="L64" s="44">
        <v>1</v>
      </c>
      <c r="M64" s="44">
        <v>0</v>
      </c>
      <c r="N64" s="44">
        <v>3</v>
      </c>
      <c r="O64" s="44">
        <v>1</v>
      </c>
      <c r="P64" s="256">
        <v>3</v>
      </c>
      <c r="Q64" s="202">
        <v>22</v>
      </c>
    </row>
    <row r="65" spans="1:17" s="2" customFormat="1" ht="24" customHeight="1" x14ac:dyDescent="0.25">
      <c r="A65" s="6"/>
      <c r="B65" s="185" t="s">
        <v>33</v>
      </c>
      <c r="C65" s="1119"/>
      <c r="D65" s="1120"/>
      <c r="E65" s="69"/>
      <c r="F65" s="43">
        <v>0</v>
      </c>
      <c r="G65" s="44">
        <v>-6</v>
      </c>
      <c r="H65" s="44">
        <v>-4</v>
      </c>
      <c r="I65" s="44">
        <v>-12</v>
      </c>
      <c r="J65" s="44">
        <v>-6</v>
      </c>
      <c r="K65" s="44">
        <v>-8</v>
      </c>
      <c r="L65" s="44">
        <v>-6</v>
      </c>
      <c r="M65" s="44">
        <v>-14</v>
      </c>
      <c r="N65" s="44">
        <v>-8</v>
      </c>
      <c r="O65" s="44">
        <v>-6</v>
      </c>
      <c r="P65" s="256">
        <v>-6</v>
      </c>
      <c r="Q65" s="202">
        <v>-9</v>
      </c>
    </row>
    <row r="66" spans="1:17" s="2" customFormat="1" ht="24" customHeight="1" x14ac:dyDescent="0.25">
      <c r="A66" s="6"/>
      <c r="B66" s="70" t="s">
        <v>158</v>
      </c>
      <c r="C66" s="1119"/>
      <c r="D66" s="1120"/>
      <c r="E66" s="50"/>
      <c r="F66" s="78">
        <f>147159/14.16</f>
        <v>10392.584745762711</v>
      </c>
      <c r="G66" s="79">
        <f>140619/14.16</f>
        <v>9930.7203389830502</v>
      </c>
      <c r="H66" s="79">
        <f>146036/14.16</f>
        <v>10313.276836158191</v>
      </c>
      <c r="I66" s="79">
        <f>155658/14.16</f>
        <v>10992.796610169491</v>
      </c>
      <c r="J66" s="237">
        <f>132995/14.16</f>
        <v>9392.3022598870048</v>
      </c>
      <c r="K66" s="79">
        <f>138123/14.16</f>
        <v>9754.4491525423728</v>
      </c>
      <c r="L66" s="79">
        <f>141483.18/14.16</f>
        <v>9991.75</v>
      </c>
      <c r="M66" s="79">
        <f>120425.14/14.16</f>
        <v>8504.6002824858751</v>
      </c>
      <c r="N66" s="79">
        <f>129419/14.16</f>
        <v>9139.7598870056499</v>
      </c>
      <c r="O66" s="79">
        <f>128949/14.16</f>
        <v>9106.5677966101703</v>
      </c>
      <c r="P66" s="218">
        <f>129825/14.16</f>
        <v>9168.4322033898297</v>
      </c>
      <c r="Q66" s="80">
        <f>125890/14.16</f>
        <v>8890.5367231638411</v>
      </c>
    </row>
    <row r="67" spans="1:17" s="2" customFormat="1" ht="24" customHeight="1" x14ac:dyDescent="0.25">
      <c r="A67" s="6"/>
      <c r="B67" s="70" t="s">
        <v>55</v>
      </c>
      <c r="C67" s="1119"/>
      <c r="D67" s="1120"/>
      <c r="E67" s="164">
        <v>142</v>
      </c>
      <c r="F67" s="43">
        <v>146</v>
      </c>
      <c r="G67" s="44">
        <f>F67+SUM(G68:G69)</f>
        <v>145</v>
      </c>
      <c r="H67" s="44">
        <f>G67+SUM(H68:H69)</f>
        <v>141</v>
      </c>
      <c r="I67" s="44">
        <f>H67+SUM(I68:I69)</f>
        <v>139</v>
      </c>
      <c r="J67" s="44">
        <v>139</v>
      </c>
      <c r="K67" s="44">
        <v>139</v>
      </c>
      <c r="L67" s="44">
        <v>138</v>
      </c>
      <c r="M67" s="44">
        <v>138</v>
      </c>
      <c r="N67" s="44">
        <v>140</v>
      </c>
      <c r="O67" s="44">
        <v>145</v>
      </c>
      <c r="P67" s="256">
        <v>142</v>
      </c>
      <c r="Q67" s="45">
        <v>142</v>
      </c>
    </row>
    <row r="68" spans="1:17" s="2" customFormat="1" ht="24" customHeight="1" x14ac:dyDescent="0.25">
      <c r="A68" s="6"/>
      <c r="B68" s="185" t="s">
        <v>32</v>
      </c>
      <c r="C68" s="1119"/>
      <c r="D68" s="1120"/>
      <c r="E68" s="69"/>
      <c r="F68" s="43">
        <v>0</v>
      </c>
      <c r="G68" s="44">
        <v>3</v>
      </c>
      <c r="H68" s="44">
        <v>0</v>
      </c>
      <c r="I68" s="44">
        <v>0</v>
      </c>
      <c r="J68" s="44">
        <v>1</v>
      </c>
      <c r="K68" s="44">
        <v>1</v>
      </c>
      <c r="L68" s="44">
        <v>1</v>
      </c>
      <c r="M68" s="44">
        <v>0</v>
      </c>
      <c r="N68" s="44">
        <v>2</v>
      </c>
      <c r="O68" s="44">
        <v>5</v>
      </c>
      <c r="P68" s="256">
        <v>0</v>
      </c>
      <c r="Q68" s="202">
        <v>0</v>
      </c>
    </row>
    <row r="69" spans="1:17" s="2" customFormat="1" ht="24" customHeight="1" x14ac:dyDescent="0.25">
      <c r="A69" s="6"/>
      <c r="B69" s="185" t="s">
        <v>33</v>
      </c>
      <c r="C69" s="1119"/>
      <c r="D69" s="1120"/>
      <c r="E69" s="69"/>
      <c r="F69" s="43">
        <v>-4</v>
      </c>
      <c r="G69" s="44">
        <v>-4</v>
      </c>
      <c r="H69" s="44">
        <v>-4</v>
      </c>
      <c r="I69" s="44">
        <v>-2</v>
      </c>
      <c r="J69" s="44">
        <v>-2</v>
      </c>
      <c r="K69" s="44">
        <v>-1</v>
      </c>
      <c r="L69" s="44">
        <v>-1</v>
      </c>
      <c r="M69" s="44">
        <v>0</v>
      </c>
      <c r="N69" s="44">
        <v>0</v>
      </c>
      <c r="O69" s="44">
        <v>0</v>
      </c>
      <c r="P69" s="256">
        <v>-3</v>
      </c>
      <c r="Q69" s="202">
        <v>0</v>
      </c>
    </row>
    <row r="70" spans="1:17" s="2" customFormat="1" ht="24" customHeight="1" x14ac:dyDescent="0.25">
      <c r="A70" s="6"/>
      <c r="B70" s="70" t="s">
        <v>56</v>
      </c>
      <c r="C70" s="1119"/>
      <c r="D70" s="1120"/>
      <c r="E70" s="69"/>
      <c r="F70" s="43">
        <f>440+326</f>
        <v>766</v>
      </c>
      <c r="G70" s="44">
        <f>330+439</f>
        <v>769</v>
      </c>
      <c r="H70" s="44">
        <f>325+446</f>
        <v>771</v>
      </c>
      <c r="I70" s="44">
        <f>446+324</f>
        <v>770</v>
      </c>
      <c r="J70" s="44">
        <f>446+318+3</f>
        <v>767</v>
      </c>
      <c r="K70" s="44">
        <f>231+189+370</f>
        <v>790</v>
      </c>
      <c r="L70" s="44">
        <v>698</v>
      </c>
      <c r="M70" s="44">
        <v>702</v>
      </c>
      <c r="N70" s="254" t="s">
        <v>160</v>
      </c>
      <c r="O70" s="44">
        <f>227+184+440</f>
        <v>851</v>
      </c>
      <c r="P70" s="44">
        <f>599</f>
        <v>599</v>
      </c>
      <c r="Q70" s="45">
        <v>619</v>
      </c>
    </row>
    <row r="71" spans="1:17" s="2" customFormat="1" ht="24" hidden="1" customHeight="1" x14ac:dyDescent="0.25">
      <c r="A71" s="6"/>
      <c r="B71" s="185" t="s">
        <v>32</v>
      </c>
      <c r="C71" s="1119"/>
      <c r="D71" s="1120"/>
      <c r="E71" s="69"/>
      <c r="F71" s="1163"/>
      <c r="G71" s="1164"/>
      <c r="H71" s="1164"/>
      <c r="I71" s="1164"/>
      <c r="J71" s="1164"/>
      <c r="K71" s="1164"/>
      <c r="L71" s="1164"/>
      <c r="M71" s="1164"/>
      <c r="N71" s="1164"/>
      <c r="O71" s="1164"/>
      <c r="P71" s="1164"/>
      <c r="Q71" s="1165"/>
    </row>
    <row r="72" spans="1:17" s="2" customFormat="1" ht="24" hidden="1" customHeight="1" x14ac:dyDescent="0.25">
      <c r="A72" s="6"/>
      <c r="B72" s="185" t="s">
        <v>33</v>
      </c>
      <c r="C72" s="1119"/>
      <c r="D72" s="1120"/>
      <c r="E72" s="69"/>
      <c r="F72" s="1156"/>
      <c r="G72" s="1166"/>
      <c r="H72" s="1166"/>
      <c r="I72" s="1166"/>
      <c r="J72" s="1166"/>
      <c r="K72" s="1166"/>
      <c r="L72" s="1166"/>
      <c r="M72" s="1166"/>
      <c r="N72" s="1166"/>
      <c r="O72" s="1166"/>
      <c r="P72" s="1166"/>
      <c r="Q72" s="1167"/>
    </row>
    <row r="73" spans="1:17" s="2" customFormat="1" ht="24" customHeight="1" x14ac:dyDescent="0.25">
      <c r="A73" s="6"/>
      <c r="B73" s="70" t="s">
        <v>57</v>
      </c>
      <c r="C73" s="1119"/>
      <c r="D73" s="1120"/>
      <c r="E73" s="158">
        <f>SUM(F73:Q73)</f>
        <v>3737178</v>
      </c>
      <c r="F73" s="155">
        <f>138142+205444</f>
        <v>343586</v>
      </c>
      <c r="G73" s="156">
        <f>205412+143674</f>
        <v>349086</v>
      </c>
      <c r="H73" s="156">
        <f>209289+139874</f>
        <v>349163</v>
      </c>
      <c r="I73" s="156">
        <f>140046+208705</f>
        <v>348751</v>
      </c>
      <c r="J73" s="156">
        <f>133884+202922+1557</f>
        <v>338363</v>
      </c>
      <c r="K73" s="156">
        <f>103625+81022+5076</f>
        <v>189723</v>
      </c>
      <c r="L73" s="156">
        <f>103495+81159+133155</f>
        <v>317809</v>
      </c>
      <c r="M73" s="156">
        <f>102353+80557+132299</f>
        <v>315209</v>
      </c>
      <c r="N73" s="156">
        <f>80164+102353+144311</f>
        <v>326828</v>
      </c>
      <c r="O73" s="156">
        <f>80164+102353+107801</f>
        <v>290318</v>
      </c>
      <c r="P73" s="156">
        <v>276106</v>
      </c>
      <c r="Q73" s="157">
        <v>292236</v>
      </c>
    </row>
    <row r="74" spans="1:17" s="2" customFormat="1" ht="24" customHeight="1" x14ac:dyDescent="0.25">
      <c r="A74" s="6"/>
      <c r="B74" s="70" t="s">
        <v>58</v>
      </c>
      <c r="C74" s="1119"/>
      <c r="D74" s="1120"/>
      <c r="E74" s="164">
        <v>126</v>
      </c>
      <c r="F74" s="43">
        <v>132</v>
      </c>
      <c r="G74" s="44">
        <f>F74+SUM(G75:G76)</f>
        <v>128</v>
      </c>
      <c r="H74" s="44">
        <v>128</v>
      </c>
      <c r="I74" s="44">
        <v>129</v>
      </c>
      <c r="J74" s="44">
        <v>128</v>
      </c>
      <c r="K74" s="44">
        <v>118</v>
      </c>
      <c r="L74" s="44">
        <v>119</v>
      </c>
      <c r="M74" s="44">
        <v>122</v>
      </c>
      <c r="N74" s="44">
        <v>120</v>
      </c>
      <c r="O74" s="44">
        <v>125</v>
      </c>
      <c r="P74" s="44">
        <v>132</v>
      </c>
      <c r="Q74" s="45">
        <v>126</v>
      </c>
    </row>
    <row r="75" spans="1:17" s="2" customFormat="1" ht="24" customHeight="1" x14ac:dyDescent="0.25">
      <c r="A75" s="6"/>
      <c r="B75" s="185" t="s">
        <v>32</v>
      </c>
      <c r="C75" s="1119"/>
      <c r="D75" s="1120"/>
      <c r="E75" s="69"/>
      <c r="F75" s="43">
        <v>1</v>
      </c>
      <c r="G75" s="44">
        <v>0</v>
      </c>
      <c r="H75" s="44">
        <v>0</v>
      </c>
      <c r="I75" s="44">
        <v>1</v>
      </c>
      <c r="J75" s="44">
        <v>2</v>
      </c>
      <c r="K75" s="44">
        <v>0</v>
      </c>
      <c r="L75" s="44">
        <v>1</v>
      </c>
      <c r="M75" s="44">
        <v>3</v>
      </c>
      <c r="N75" s="44">
        <v>2</v>
      </c>
      <c r="O75" s="44">
        <v>6</v>
      </c>
      <c r="P75" s="44">
        <v>1</v>
      </c>
      <c r="Q75" s="202">
        <v>3</v>
      </c>
    </row>
    <row r="76" spans="1:17" s="2" customFormat="1" ht="24" customHeight="1" x14ac:dyDescent="0.25">
      <c r="A76" s="6"/>
      <c r="B76" s="188" t="s">
        <v>33</v>
      </c>
      <c r="C76" s="1119"/>
      <c r="D76" s="1120"/>
      <c r="E76" s="69"/>
      <c r="F76" s="30">
        <v>0</v>
      </c>
      <c r="G76" s="31">
        <v>-4</v>
      </c>
      <c r="H76" s="31">
        <v>0</v>
      </c>
      <c r="I76" s="31">
        <v>0</v>
      </c>
      <c r="J76" s="31">
        <v>-3</v>
      </c>
      <c r="K76" s="31">
        <v>-5</v>
      </c>
      <c r="L76" s="31">
        <v>0</v>
      </c>
      <c r="M76" s="31">
        <v>0</v>
      </c>
      <c r="N76" s="31">
        <v>-4</v>
      </c>
      <c r="O76" s="31">
        <v>-2</v>
      </c>
      <c r="P76" s="31">
        <v>-2</v>
      </c>
      <c r="Q76" s="243">
        <v>-2</v>
      </c>
    </row>
    <row r="77" spans="1:17" x14ac:dyDescent="0.3">
      <c r="A77" s="5"/>
      <c r="B77" s="1116" t="s">
        <v>59</v>
      </c>
      <c r="C77" s="1117"/>
      <c r="D77" s="1117"/>
      <c r="E77" s="1117"/>
      <c r="F77" s="1117"/>
      <c r="G77" s="1117"/>
      <c r="H77" s="1117"/>
      <c r="I77" s="1117"/>
      <c r="J77" s="1117"/>
      <c r="K77" s="1117"/>
      <c r="L77" s="1117"/>
      <c r="M77" s="1117"/>
      <c r="N77" s="1117"/>
      <c r="O77" s="1117"/>
      <c r="P77" s="1117"/>
      <c r="Q77" s="1118"/>
    </row>
    <row r="78" spans="1:17" s="3" customFormat="1" ht="24" customHeight="1" x14ac:dyDescent="0.25">
      <c r="A78" s="7"/>
      <c r="B78" s="21" t="s">
        <v>60</v>
      </c>
      <c r="C78" s="84">
        <v>14761</v>
      </c>
      <c r="D78" s="85">
        <v>10469</v>
      </c>
      <c r="E78" s="167">
        <f t="shared" ref="E78:E86" si="9">SUM(F78:Q78)</f>
        <v>15584</v>
      </c>
      <c r="F78" s="86">
        <f t="shared" ref="F78:P78" si="10">SUM(F79:F85)</f>
        <v>943</v>
      </c>
      <c r="G78" s="217">
        <f>SUM(G79:G85)</f>
        <v>936</v>
      </c>
      <c r="H78" s="217">
        <f>SUM(H79:H85)</f>
        <v>977</v>
      </c>
      <c r="I78" s="217">
        <f t="shared" si="10"/>
        <v>866</v>
      </c>
      <c r="J78" s="217">
        <f t="shared" si="10"/>
        <v>1327</v>
      </c>
      <c r="K78" s="217">
        <f t="shared" si="10"/>
        <v>1536</v>
      </c>
      <c r="L78" s="217">
        <f t="shared" si="10"/>
        <v>3018</v>
      </c>
      <c r="M78" s="217">
        <f t="shared" si="10"/>
        <v>1840</v>
      </c>
      <c r="N78" s="217">
        <f t="shared" si="10"/>
        <v>2034</v>
      </c>
      <c r="O78" s="217">
        <f t="shared" si="10"/>
        <v>906</v>
      </c>
      <c r="P78" s="217">
        <f t="shared" si="10"/>
        <v>615</v>
      </c>
      <c r="Q78" s="278">
        <f>SUM(Q79:Q85)</f>
        <v>586</v>
      </c>
    </row>
    <row r="79" spans="1:17" s="3" customFormat="1" ht="24" customHeight="1" x14ac:dyDescent="0.25">
      <c r="A79" s="7"/>
      <c r="B79" s="190" t="s">
        <v>61</v>
      </c>
      <c r="C79" s="90">
        <v>10258</v>
      </c>
      <c r="D79" s="91">
        <v>6755</v>
      </c>
      <c r="E79" s="167">
        <f t="shared" si="9"/>
        <v>11380</v>
      </c>
      <c r="F79" s="92">
        <f>1+233+4+10+1+276+1</f>
        <v>526</v>
      </c>
      <c r="G79" s="93">
        <f>3+277+3+8+239+2</f>
        <v>532</v>
      </c>
      <c r="H79" s="93">
        <f>5+297+5+5+1+214+1</f>
        <v>528</v>
      </c>
      <c r="I79" s="93">
        <f>6+276+16+2+11+178+4+1</f>
        <v>494</v>
      </c>
      <c r="J79" s="93">
        <f>2+256+49+6+10+2+244+27+10+388</f>
        <v>994</v>
      </c>
      <c r="K79" s="93">
        <f>3+287+45+9+38+3+197+17+2+561</f>
        <v>1162</v>
      </c>
      <c r="L79" s="244">
        <f>380+81+11+34+12+400+34+1642</f>
        <v>2594</v>
      </c>
      <c r="M79" s="93">
        <f>1+353+53+5+4+1+389+47+3+779</f>
        <v>1635</v>
      </c>
      <c r="N79" s="93">
        <f>384+51+5+1+485+77+742</f>
        <v>1745</v>
      </c>
      <c r="O79" s="93">
        <f>5+291+22+8+1+240+17</f>
        <v>584</v>
      </c>
      <c r="P79" s="244">
        <f>4+143+9+8+1+156+6</f>
        <v>327</v>
      </c>
      <c r="Q79" s="94">
        <f>3+130+4+2+117+3</f>
        <v>259</v>
      </c>
    </row>
    <row r="80" spans="1:17" s="3" customFormat="1" ht="24" customHeight="1" x14ac:dyDescent="0.25">
      <c r="A80" s="7"/>
      <c r="B80" s="190" t="s">
        <v>62</v>
      </c>
      <c r="C80" s="90">
        <v>431</v>
      </c>
      <c r="D80" s="91">
        <v>367</v>
      </c>
      <c r="E80" s="167">
        <f t="shared" si="9"/>
        <v>827</v>
      </c>
      <c r="F80" s="92">
        <f>26+8+1+25</f>
        <v>60</v>
      </c>
      <c r="G80" s="93">
        <f>34+2+6+1+18</f>
        <v>61</v>
      </c>
      <c r="H80" s="93">
        <f>44+1+7+28</f>
        <v>80</v>
      </c>
      <c r="I80" s="93">
        <f>1+3+42+1+7+1</f>
        <v>55</v>
      </c>
      <c r="J80" s="93">
        <f>29+4+2+37</f>
        <v>72</v>
      </c>
      <c r="K80" s="93">
        <f>44+1+3+1+27</f>
        <v>76</v>
      </c>
      <c r="L80" s="244">
        <f>31+7+42</f>
        <v>80</v>
      </c>
      <c r="M80" s="93">
        <f>26+2+20</f>
        <v>48</v>
      </c>
      <c r="N80" s="93">
        <f>37+1+33</f>
        <v>71</v>
      </c>
      <c r="O80" s="93">
        <f>25+2+33</f>
        <v>60</v>
      </c>
      <c r="P80" s="244">
        <f>33+1+27</f>
        <v>61</v>
      </c>
      <c r="Q80" s="94">
        <f>1+1+51+2+48</f>
        <v>103</v>
      </c>
    </row>
    <row r="81" spans="1:17" s="3" customFormat="1" ht="24" customHeight="1" x14ac:dyDescent="0.25">
      <c r="A81" s="7"/>
      <c r="B81" s="190" t="s">
        <v>70</v>
      </c>
      <c r="C81" s="90">
        <v>172</v>
      </c>
      <c r="D81" s="91">
        <v>116</v>
      </c>
      <c r="E81" s="167">
        <f t="shared" si="9"/>
        <v>82</v>
      </c>
      <c r="F81" s="92">
        <f>3+2+1+2</f>
        <v>8</v>
      </c>
      <c r="G81" s="93">
        <f>7+1+7</f>
        <v>15</v>
      </c>
      <c r="H81" s="93">
        <f>1+1+1</f>
        <v>3</v>
      </c>
      <c r="I81" s="93">
        <f>2+3+3</f>
        <v>8</v>
      </c>
      <c r="J81" s="93">
        <f>1+1+1+1+3</f>
        <v>7</v>
      </c>
      <c r="K81" s="93">
        <f>2+4+1+2</f>
        <v>9</v>
      </c>
      <c r="L81" s="244">
        <f>5+2</f>
        <v>7</v>
      </c>
      <c r="M81" s="93">
        <f>1+2</f>
        <v>3</v>
      </c>
      <c r="N81" s="93">
        <f>2+2+2</f>
        <v>6</v>
      </c>
      <c r="O81" s="93">
        <f>2+2+3</f>
        <v>7</v>
      </c>
      <c r="P81" s="244">
        <f>2+1+4</f>
        <v>7</v>
      </c>
      <c r="Q81" s="94">
        <f>1+1</f>
        <v>2</v>
      </c>
    </row>
    <row r="82" spans="1:17" s="3" customFormat="1" ht="24" customHeight="1" x14ac:dyDescent="0.25">
      <c r="A82" s="7"/>
      <c r="B82" s="190" t="s">
        <v>63</v>
      </c>
      <c r="C82" s="90">
        <v>1947</v>
      </c>
      <c r="D82" s="91">
        <v>1660</v>
      </c>
      <c r="E82" s="167">
        <f t="shared" si="9"/>
        <v>1825</v>
      </c>
      <c r="F82" s="92">
        <f>4+99+1+3+65</f>
        <v>172</v>
      </c>
      <c r="G82" s="93">
        <f>6+120+1+64</f>
        <v>191</v>
      </c>
      <c r="H82" s="93">
        <f>2+4+120+1+3+76</f>
        <v>206</v>
      </c>
      <c r="I82" s="93">
        <f>1+7+102+1+61</f>
        <v>172</v>
      </c>
      <c r="J82" s="93">
        <f>8+98+1+46</f>
        <v>153</v>
      </c>
      <c r="K82" s="93">
        <f>2+1+107+1+1+64</f>
        <v>176</v>
      </c>
      <c r="L82" s="244">
        <f>4+122+2+80</f>
        <v>208</v>
      </c>
      <c r="M82" s="93">
        <f>1+1+45+16</f>
        <v>63</v>
      </c>
      <c r="N82" s="93">
        <f>2+54+1+1+44</f>
        <v>102</v>
      </c>
      <c r="O82" s="93">
        <f>1+78+1+53</f>
        <v>133</v>
      </c>
      <c r="P82" s="244">
        <f>3+70+63</f>
        <v>136</v>
      </c>
      <c r="Q82" s="94">
        <f>1+63+1+48</f>
        <v>113</v>
      </c>
    </row>
    <row r="83" spans="1:17" s="3" customFormat="1" ht="24" customHeight="1" x14ac:dyDescent="0.25">
      <c r="A83" s="7"/>
      <c r="B83" s="190" t="s">
        <v>64</v>
      </c>
      <c r="C83" s="90">
        <v>1424</v>
      </c>
      <c r="D83" s="91">
        <v>1350</v>
      </c>
      <c r="E83" s="167">
        <f t="shared" si="9"/>
        <v>1227</v>
      </c>
      <c r="F83" s="92">
        <f>2+48+4+74</f>
        <v>128</v>
      </c>
      <c r="G83" s="93">
        <f>1+49+62</f>
        <v>112</v>
      </c>
      <c r="H83" s="93">
        <f>3+65+73</f>
        <v>141</v>
      </c>
      <c r="I83" s="93">
        <f>2+57+1+63</f>
        <v>123</v>
      </c>
      <c r="J83" s="93">
        <f>2+30+2+47</f>
        <v>81</v>
      </c>
      <c r="K83" s="93">
        <f>57+39</f>
        <v>96</v>
      </c>
      <c r="L83" s="244">
        <f>62+1+48</f>
        <v>111</v>
      </c>
      <c r="M83" s="93">
        <f>31+1+33</f>
        <v>65</v>
      </c>
      <c r="N83" s="93">
        <f>2+41+47</f>
        <v>90</v>
      </c>
      <c r="O83" s="93">
        <f>1+36+2+72</f>
        <v>111</v>
      </c>
      <c r="P83" s="244">
        <f>32+46</f>
        <v>78</v>
      </c>
      <c r="Q83" s="94">
        <f>2+42+47</f>
        <v>91</v>
      </c>
    </row>
    <row r="84" spans="1:17" s="3" customFormat="1" ht="24" customHeight="1" x14ac:dyDescent="0.25">
      <c r="A84" s="7"/>
      <c r="B84" s="190" t="s">
        <v>65</v>
      </c>
      <c r="C84" s="90">
        <v>90</v>
      </c>
      <c r="D84" s="91">
        <v>83</v>
      </c>
      <c r="E84" s="167">
        <f t="shared" si="9"/>
        <v>119</v>
      </c>
      <c r="F84" s="92">
        <f>6+5</f>
        <v>11</v>
      </c>
      <c r="G84" s="93">
        <f>8+3</f>
        <v>11</v>
      </c>
      <c r="H84" s="93">
        <f>7+7</f>
        <v>14</v>
      </c>
      <c r="I84" s="93">
        <f>2+6</f>
        <v>8</v>
      </c>
      <c r="J84" s="93">
        <f>5+2</f>
        <v>7</v>
      </c>
      <c r="K84" s="93">
        <f>6+5</f>
        <v>11</v>
      </c>
      <c r="L84" s="244">
        <f>3+9</f>
        <v>12</v>
      </c>
      <c r="M84" s="93">
        <f>6+9</f>
        <v>15</v>
      </c>
      <c r="N84" s="93">
        <f>6+4</f>
        <v>10</v>
      </c>
      <c r="O84" s="93">
        <f>3+4</f>
        <v>7</v>
      </c>
      <c r="P84" s="244">
        <f>1+3</f>
        <v>4</v>
      </c>
      <c r="Q84" s="94">
        <f>5+1+3</f>
        <v>9</v>
      </c>
    </row>
    <row r="85" spans="1:17" s="3" customFormat="1" ht="37.35" customHeight="1" x14ac:dyDescent="0.25">
      <c r="A85" s="7"/>
      <c r="B85" s="184" t="s">
        <v>122</v>
      </c>
      <c r="C85" s="90">
        <v>439</v>
      </c>
      <c r="D85" s="91">
        <v>138</v>
      </c>
      <c r="E85" s="167">
        <f t="shared" si="9"/>
        <v>124</v>
      </c>
      <c r="F85" s="92">
        <f>4+11+2+2+2+10+7</f>
        <v>38</v>
      </c>
      <c r="G85" s="93">
        <f>3+1+1+1+1+1+2+1+1+1+1</f>
        <v>14</v>
      </c>
      <c r="H85" s="93">
        <f>2+1+1+1</f>
        <v>5</v>
      </c>
      <c r="I85" s="93">
        <f>1+1+1+1+1+1</f>
        <v>6</v>
      </c>
      <c r="J85" s="93">
        <f>1+1+1+2+1+7</f>
        <v>13</v>
      </c>
      <c r="K85" s="93">
        <f>1+1+1+1+1+1</f>
        <v>6</v>
      </c>
      <c r="L85" s="244">
        <f>1+1+1+1+1+1</f>
        <v>6</v>
      </c>
      <c r="M85" s="93">
        <f>3+3+4+1</f>
        <v>11</v>
      </c>
      <c r="N85" s="93">
        <f>1+1+1+1+2+1+1+2</f>
        <v>10</v>
      </c>
      <c r="O85" s="93">
        <f>1+3</f>
        <v>4</v>
      </c>
      <c r="P85" s="244">
        <f>1+1</f>
        <v>2</v>
      </c>
      <c r="Q85" s="94">
        <f>5+1+1+2</f>
        <v>9</v>
      </c>
    </row>
    <row r="86" spans="1:17" s="3" customFormat="1" ht="24" customHeight="1" x14ac:dyDescent="0.25">
      <c r="A86" s="7"/>
      <c r="B86" s="95" t="s">
        <v>66</v>
      </c>
      <c r="C86" s="96">
        <v>84</v>
      </c>
      <c r="D86" s="97">
        <v>28</v>
      </c>
      <c r="E86" s="168">
        <f t="shared" si="9"/>
        <v>117</v>
      </c>
      <c r="F86" s="98">
        <v>6</v>
      </c>
      <c r="G86" s="99">
        <v>16</v>
      </c>
      <c r="H86" s="99">
        <v>12</v>
      </c>
      <c r="I86" s="99">
        <v>10</v>
      </c>
      <c r="J86" s="99">
        <v>9</v>
      </c>
      <c r="K86" s="99">
        <v>9</v>
      </c>
      <c r="L86" s="99">
        <v>12</v>
      </c>
      <c r="M86" s="99">
        <v>8</v>
      </c>
      <c r="N86" s="99">
        <v>17</v>
      </c>
      <c r="O86" s="99">
        <v>14</v>
      </c>
      <c r="P86" s="260">
        <v>4</v>
      </c>
      <c r="Q86" s="100">
        <v>0</v>
      </c>
    </row>
    <row r="87" spans="1:17" x14ac:dyDescent="0.3">
      <c r="A87" s="5"/>
      <c r="B87" s="1098" t="s">
        <v>71</v>
      </c>
      <c r="C87" s="1099"/>
      <c r="D87" s="1099"/>
      <c r="E87" s="1099"/>
      <c r="F87" s="1099"/>
      <c r="G87" s="1099"/>
      <c r="H87" s="1099"/>
      <c r="I87" s="1099"/>
      <c r="J87" s="1099"/>
      <c r="K87" s="1099"/>
      <c r="L87" s="1099"/>
      <c r="M87" s="1099"/>
      <c r="N87" s="1099"/>
      <c r="O87" s="1099"/>
      <c r="P87" s="1099"/>
      <c r="Q87" s="1100"/>
    </row>
    <row r="88" spans="1:17" ht="17.100000000000001" customHeight="1" x14ac:dyDescent="0.3">
      <c r="A88" s="5"/>
      <c r="B88" s="1135" t="s">
        <v>73</v>
      </c>
      <c r="C88" s="1136"/>
      <c r="D88" s="1136"/>
      <c r="E88" s="1136"/>
      <c r="F88" s="1136"/>
      <c r="G88" s="1136"/>
      <c r="H88" s="1136"/>
      <c r="I88" s="1136"/>
      <c r="J88" s="1136"/>
      <c r="K88" s="1136"/>
      <c r="L88" s="1136"/>
      <c r="M88" s="1136"/>
      <c r="N88" s="1136"/>
      <c r="O88" s="1136"/>
      <c r="P88" s="1136"/>
      <c r="Q88" s="1137"/>
    </row>
    <row r="89" spans="1:17" s="2" customFormat="1" ht="24" customHeight="1" x14ac:dyDescent="0.25">
      <c r="A89" s="6"/>
      <c r="B89" s="72" t="s">
        <v>74</v>
      </c>
      <c r="C89" s="1106"/>
      <c r="D89" s="1107"/>
      <c r="E89" s="215">
        <v>2278</v>
      </c>
      <c r="F89" s="74">
        <v>3101</v>
      </c>
      <c r="G89" s="75">
        <v>2735</v>
      </c>
      <c r="H89" s="75">
        <v>2639</v>
      </c>
      <c r="I89" s="75">
        <f t="shared" ref="I89:Q89" si="11">H89+SUM(I90:I91)</f>
        <v>2657</v>
      </c>
      <c r="J89" s="75">
        <f t="shared" si="11"/>
        <v>2626</v>
      </c>
      <c r="K89" s="75">
        <f t="shared" si="11"/>
        <v>2570</v>
      </c>
      <c r="L89" s="75">
        <f t="shared" si="11"/>
        <v>2432</v>
      </c>
      <c r="M89" s="75">
        <f t="shared" si="11"/>
        <v>2357</v>
      </c>
      <c r="N89" s="75">
        <f t="shared" si="11"/>
        <v>2324</v>
      </c>
      <c r="O89" s="75">
        <f t="shared" si="11"/>
        <v>2299</v>
      </c>
      <c r="P89" s="75">
        <f t="shared" si="11"/>
        <v>2267</v>
      </c>
      <c r="Q89" s="75">
        <f t="shared" si="11"/>
        <v>2278</v>
      </c>
    </row>
    <row r="90" spans="1:17" s="2" customFormat="1" ht="24" customHeight="1" x14ac:dyDescent="0.25">
      <c r="A90" s="6"/>
      <c r="B90" s="185" t="s">
        <v>32</v>
      </c>
      <c r="C90" s="1106"/>
      <c r="D90" s="1107"/>
      <c r="E90" s="69"/>
      <c r="F90" s="78">
        <v>49</v>
      </c>
      <c r="G90" s="79">
        <v>77</v>
      </c>
      <c r="H90" s="79">
        <v>42</v>
      </c>
      <c r="I90" s="79">
        <v>93</v>
      </c>
      <c r="J90" s="79">
        <v>63</v>
      </c>
      <c r="K90" s="79">
        <v>42</v>
      </c>
      <c r="L90" s="79">
        <v>56</v>
      </c>
      <c r="M90" s="79">
        <v>26</v>
      </c>
      <c r="N90" s="79">
        <v>65</v>
      </c>
      <c r="O90" s="79">
        <v>57</v>
      </c>
      <c r="P90" s="218">
        <v>63</v>
      </c>
      <c r="Q90" s="80">
        <v>61</v>
      </c>
    </row>
    <row r="91" spans="1:17" s="2" customFormat="1" ht="24" customHeight="1" x14ac:dyDescent="0.25">
      <c r="A91" s="6"/>
      <c r="B91" s="185" t="s">
        <v>142</v>
      </c>
      <c r="C91" s="1106"/>
      <c r="D91" s="1107"/>
      <c r="E91" s="69"/>
      <c r="F91" s="78">
        <v>-74</v>
      </c>
      <c r="G91" s="79">
        <v>-74</v>
      </c>
      <c r="H91" s="79">
        <v>-79</v>
      </c>
      <c r="I91" s="79">
        <v>-75</v>
      </c>
      <c r="J91" s="79">
        <v>-94</v>
      </c>
      <c r="K91" s="79">
        <v>-98</v>
      </c>
      <c r="L91" s="79">
        <v>-194</v>
      </c>
      <c r="M91" s="79">
        <v>-101</v>
      </c>
      <c r="N91" s="79">
        <v>-98</v>
      </c>
      <c r="O91" s="79">
        <v>-82</v>
      </c>
      <c r="P91" s="218">
        <v>-95</v>
      </c>
      <c r="Q91" s="80">
        <v>-50</v>
      </c>
    </row>
    <row r="92" spans="1:17" s="2" customFormat="1" ht="24" customHeight="1" x14ac:dyDescent="0.25">
      <c r="A92" s="6"/>
      <c r="B92" s="70" t="s">
        <v>75</v>
      </c>
      <c r="C92" s="1106"/>
      <c r="D92" s="1107"/>
      <c r="E92" s="166">
        <v>952</v>
      </c>
      <c r="F92" s="78">
        <v>722</v>
      </c>
      <c r="G92" s="79">
        <v>874</v>
      </c>
      <c r="H92" s="79">
        <v>1000</v>
      </c>
      <c r="I92" s="79">
        <v>1090</v>
      </c>
      <c r="J92" s="79">
        <v>1137</v>
      </c>
      <c r="K92" s="79">
        <v>1204</v>
      </c>
      <c r="L92" s="79">
        <v>1307</v>
      </c>
      <c r="M92" s="79">
        <v>1341</v>
      </c>
      <c r="N92" s="79">
        <v>1444</v>
      </c>
      <c r="O92" s="79">
        <v>1481</v>
      </c>
      <c r="P92" s="218">
        <v>1442</v>
      </c>
      <c r="Q92" s="80">
        <v>952</v>
      </c>
    </row>
    <row r="93" spans="1:17" s="2" customFormat="1" ht="24" customHeight="1" x14ac:dyDescent="0.25">
      <c r="A93" s="6"/>
      <c r="B93" s="185" t="s">
        <v>32</v>
      </c>
      <c r="C93" s="1106"/>
      <c r="D93" s="1107"/>
      <c r="E93" s="69"/>
      <c r="F93" s="214">
        <v>101</v>
      </c>
      <c r="G93" s="79">
        <v>110</v>
      </c>
      <c r="H93" s="79">
        <v>134</v>
      </c>
      <c r="I93" s="79">
        <v>92</v>
      </c>
      <c r="J93" s="79">
        <v>58</v>
      </c>
      <c r="K93" s="79">
        <v>76</v>
      </c>
      <c r="L93" s="79">
        <v>107</v>
      </c>
      <c r="M93" s="79">
        <v>50</v>
      </c>
      <c r="N93" s="79">
        <v>19</v>
      </c>
      <c r="O93" s="79">
        <v>50</v>
      </c>
      <c r="P93" s="218">
        <v>86</v>
      </c>
      <c r="Q93" s="80">
        <v>76</v>
      </c>
    </row>
    <row r="94" spans="1:17" s="2" customFormat="1" ht="24" customHeight="1" x14ac:dyDescent="0.25">
      <c r="A94" s="6"/>
      <c r="B94" s="188" t="s">
        <v>33</v>
      </c>
      <c r="C94" s="1106"/>
      <c r="D94" s="1107"/>
      <c r="E94" s="69"/>
      <c r="F94" s="242" t="s">
        <v>155</v>
      </c>
      <c r="G94" s="37">
        <v>-4</v>
      </c>
      <c r="H94" s="37">
        <v>3</v>
      </c>
      <c r="I94" s="37">
        <v>-4</v>
      </c>
      <c r="J94" s="37">
        <v>-9</v>
      </c>
      <c r="K94" s="37">
        <v>-6</v>
      </c>
      <c r="L94" s="37">
        <v>-12</v>
      </c>
      <c r="M94" s="37">
        <v>-13</v>
      </c>
      <c r="N94" s="37">
        <v>-17</v>
      </c>
      <c r="O94" s="37">
        <v>-18</v>
      </c>
      <c r="P94" s="219">
        <v>-120</v>
      </c>
      <c r="Q94" s="38">
        <v>-511</v>
      </c>
    </row>
    <row r="95" spans="1:17" x14ac:dyDescent="0.3">
      <c r="A95" s="5"/>
      <c r="B95" s="1124" t="s">
        <v>76</v>
      </c>
      <c r="C95" s="1125"/>
      <c r="D95" s="1125"/>
      <c r="E95" s="1125"/>
      <c r="F95" s="1125"/>
      <c r="G95" s="1125"/>
      <c r="H95" s="1125"/>
      <c r="I95" s="1125"/>
      <c r="J95" s="1125"/>
      <c r="K95" s="1125"/>
      <c r="L95" s="1125"/>
      <c r="M95" s="1125"/>
      <c r="N95" s="1125"/>
      <c r="O95" s="1125"/>
      <c r="P95" s="1125"/>
      <c r="Q95" s="1126"/>
    </row>
    <row r="96" spans="1:17" s="2" customFormat="1" ht="24" customHeight="1" x14ac:dyDescent="0.25">
      <c r="A96" s="6"/>
      <c r="B96" s="72" t="s">
        <v>78</v>
      </c>
      <c r="C96" s="1138"/>
      <c r="D96" s="1139"/>
      <c r="E96" s="1115"/>
      <c r="F96" s="74">
        <v>21351</v>
      </c>
      <c r="G96" s="75">
        <v>21955</v>
      </c>
      <c r="H96" s="75">
        <v>22042</v>
      </c>
      <c r="I96" s="75">
        <v>22201</v>
      </c>
      <c r="J96" s="75">
        <v>22150</v>
      </c>
      <c r="K96" s="75">
        <v>22075</v>
      </c>
      <c r="L96" s="75">
        <v>21883</v>
      </c>
      <c r="M96" s="75">
        <v>21767</v>
      </c>
      <c r="N96" s="75">
        <v>21830</v>
      </c>
      <c r="O96" s="75">
        <v>21953</v>
      </c>
      <c r="P96" s="229">
        <v>21953</v>
      </c>
      <c r="Q96" s="76">
        <v>22135</v>
      </c>
    </row>
    <row r="97" spans="1:17" s="2" customFormat="1" ht="24" customHeight="1" x14ac:dyDescent="0.25">
      <c r="A97" s="6"/>
      <c r="B97" s="70" t="s">
        <v>77</v>
      </c>
      <c r="C97" s="1138"/>
      <c r="D97" s="1139"/>
      <c r="E97" s="1115"/>
      <c r="F97" s="78">
        <v>42805</v>
      </c>
      <c r="G97" s="79">
        <v>43673</v>
      </c>
      <c r="H97" s="79">
        <v>43851</v>
      </c>
      <c r="I97" s="79">
        <v>44141</v>
      </c>
      <c r="J97" s="79">
        <v>43970</v>
      </c>
      <c r="K97" s="79">
        <v>43714</v>
      </c>
      <c r="L97" s="79">
        <v>43323</v>
      </c>
      <c r="M97" s="79">
        <v>43043</v>
      </c>
      <c r="N97" s="79">
        <v>43190</v>
      </c>
      <c r="O97" s="79">
        <v>43422</v>
      </c>
      <c r="P97" s="195">
        <v>43455</v>
      </c>
      <c r="Q97" s="80">
        <v>43745</v>
      </c>
    </row>
    <row r="98" spans="1:17" s="2" customFormat="1" ht="24" customHeight="1" x14ac:dyDescent="0.25">
      <c r="A98" s="6"/>
      <c r="B98" s="71" t="s">
        <v>79</v>
      </c>
      <c r="C98" s="1138"/>
      <c r="D98" s="1139"/>
      <c r="E98" s="1115"/>
      <c r="F98" s="211">
        <v>5646400</v>
      </c>
      <c r="G98" s="216">
        <v>5675416</v>
      </c>
      <c r="H98" s="216">
        <v>5617603</v>
      </c>
      <c r="I98" s="107">
        <v>5857922</v>
      </c>
      <c r="J98" s="107">
        <v>5811147</v>
      </c>
      <c r="K98" s="107">
        <v>5750858</v>
      </c>
      <c r="L98" s="107">
        <v>5655288</v>
      </c>
      <c r="M98" s="216">
        <v>5577213</v>
      </c>
      <c r="N98" s="107">
        <v>5612140</v>
      </c>
      <c r="O98" s="107">
        <v>5658685</v>
      </c>
      <c r="P98" s="107">
        <v>5654891</v>
      </c>
      <c r="Q98" s="197">
        <v>5698168</v>
      </c>
    </row>
    <row r="99" spans="1:17" x14ac:dyDescent="0.3">
      <c r="A99" s="5"/>
      <c r="B99" s="1124" t="s">
        <v>80</v>
      </c>
      <c r="C99" s="1125"/>
      <c r="D99" s="1125"/>
      <c r="E99" s="1125"/>
      <c r="F99" s="1125"/>
      <c r="G99" s="1125"/>
      <c r="H99" s="1125"/>
      <c r="I99" s="1125"/>
      <c r="J99" s="1125"/>
      <c r="K99" s="1125"/>
      <c r="L99" s="1125"/>
      <c r="M99" s="1125"/>
      <c r="N99" s="1125"/>
      <c r="O99" s="1125"/>
      <c r="P99" s="1125"/>
      <c r="Q99" s="1126"/>
    </row>
    <row r="100" spans="1:17" s="2" customFormat="1" ht="24" customHeight="1" x14ac:dyDescent="0.25">
      <c r="A100" s="6"/>
      <c r="B100" s="72" t="s">
        <v>81</v>
      </c>
      <c r="C100" s="1104"/>
      <c r="D100" s="1105"/>
      <c r="E100" s="1151"/>
      <c r="F100" s="24">
        <f>43487+3825-139</f>
        <v>47173</v>
      </c>
      <c r="G100" s="25">
        <f>4877+43144</f>
        <v>48021</v>
      </c>
      <c r="H100" s="25">
        <f>5552+42799</f>
        <v>48351</v>
      </c>
      <c r="I100" s="25">
        <f>46054+7257</f>
        <v>53311</v>
      </c>
      <c r="J100" s="25">
        <f>45613+6664</f>
        <v>52277</v>
      </c>
      <c r="K100" s="25">
        <f>53203-2418</f>
        <v>50785</v>
      </c>
      <c r="L100" s="25">
        <f>49228-2377</f>
        <v>46851</v>
      </c>
      <c r="M100" s="25">
        <f>50745-2392</f>
        <v>48353</v>
      </c>
      <c r="N100" s="25">
        <f>48725-2224</f>
        <v>46501</v>
      </c>
      <c r="O100" s="25">
        <f>46589-1939-300</f>
        <v>44350</v>
      </c>
      <c r="P100" s="222">
        <f>40933-1737</f>
        <v>39196</v>
      </c>
      <c r="Q100" s="26">
        <f>39818-1073-574</f>
        <v>38171</v>
      </c>
    </row>
    <row r="101" spans="1:17" s="2" customFormat="1" ht="24" customHeight="1" x14ac:dyDescent="0.25">
      <c r="A101" s="6"/>
      <c r="B101" s="70" t="s">
        <v>82</v>
      </c>
      <c r="C101" s="1104"/>
      <c r="D101" s="1105"/>
      <c r="E101" s="1151"/>
      <c r="F101" s="43">
        <f>139+2484</f>
        <v>2623</v>
      </c>
      <c r="G101" s="44">
        <v>2480</v>
      </c>
      <c r="H101" s="44">
        <v>2440</v>
      </c>
      <c r="I101" s="44">
        <v>49</v>
      </c>
      <c r="J101" s="44">
        <v>2540</v>
      </c>
      <c r="K101" s="44">
        <v>2418</v>
      </c>
      <c r="L101" s="44">
        <f>2232+145</f>
        <v>2377</v>
      </c>
      <c r="M101" s="44">
        <f>2196+196</f>
        <v>2392</v>
      </c>
      <c r="N101" s="44">
        <f>2051+173</f>
        <v>2224</v>
      </c>
      <c r="O101" s="44">
        <f>1839+300</f>
        <v>2139</v>
      </c>
      <c r="P101" s="256">
        <f>1344+393</f>
        <v>1737</v>
      </c>
      <c r="Q101" s="45">
        <f>1073+574</f>
        <v>1647</v>
      </c>
    </row>
    <row r="102" spans="1:17" s="2" customFormat="1" ht="36.6" customHeight="1" x14ac:dyDescent="0.25">
      <c r="A102" s="6"/>
      <c r="B102" s="103" t="s">
        <v>137</v>
      </c>
      <c r="C102" s="1104"/>
      <c r="D102" s="1105"/>
      <c r="E102" s="1151"/>
      <c r="F102" s="104">
        <f>SUM(F100:F101)/267587</f>
        <v>0.18609274740551671</v>
      </c>
      <c r="G102" s="223">
        <f t="shared" ref="G102:Q102" si="12">SUM(G100:G101)/267587</f>
        <v>0.18872740454506384</v>
      </c>
      <c r="H102" s="223">
        <f t="shared" si="12"/>
        <v>0.18981116421948749</v>
      </c>
      <c r="I102" s="223">
        <f t="shared" si="12"/>
        <v>0.19941178009395075</v>
      </c>
      <c r="J102" s="223">
        <f t="shared" si="12"/>
        <v>0.20485673818234817</v>
      </c>
      <c r="K102" s="223">
        <f t="shared" si="12"/>
        <v>0.19882505502883174</v>
      </c>
      <c r="L102" s="223">
        <f t="shared" si="12"/>
        <v>0.1839700732845766</v>
      </c>
      <c r="M102" s="223">
        <f t="shared" si="12"/>
        <v>0.18963925751250996</v>
      </c>
      <c r="N102" s="223">
        <f>SUM(N100:N101)/267587</f>
        <v>0.18209031081480043</v>
      </c>
      <c r="O102" s="223">
        <f>SUM(O100:O101)/267587</f>
        <v>0.17373415001476156</v>
      </c>
      <c r="P102" s="223">
        <f t="shared" si="12"/>
        <v>0.15297080949373476</v>
      </c>
      <c r="Q102" s="223">
        <f t="shared" si="12"/>
        <v>0.14880394040069211</v>
      </c>
    </row>
    <row r="103" spans="1:17" x14ac:dyDescent="0.3">
      <c r="A103" s="5"/>
      <c r="B103" s="1124" t="s">
        <v>88</v>
      </c>
      <c r="C103" s="1125"/>
      <c r="D103" s="1125"/>
      <c r="E103" s="1125"/>
      <c r="F103" s="1125"/>
      <c r="G103" s="1125"/>
      <c r="H103" s="1125"/>
      <c r="I103" s="1125"/>
      <c r="J103" s="1125"/>
      <c r="K103" s="1125"/>
      <c r="L103" s="1125"/>
      <c r="M103" s="1125"/>
      <c r="N103" s="1125"/>
      <c r="O103" s="1125"/>
      <c r="P103" s="1125"/>
      <c r="Q103" s="1126"/>
    </row>
    <row r="104" spans="1:17" x14ac:dyDescent="0.3">
      <c r="A104" s="5"/>
      <c r="B104" s="1116" t="s">
        <v>87</v>
      </c>
      <c r="C104" s="1117"/>
      <c r="D104" s="1117"/>
      <c r="E104" s="1117"/>
      <c r="F104" s="1117"/>
      <c r="G104" s="1117"/>
      <c r="H104" s="1117"/>
      <c r="I104" s="1117"/>
      <c r="J104" s="1117"/>
      <c r="K104" s="1117"/>
      <c r="L104" s="1117"/>
      <c r="M104" s="1117"/>
      <c r="N104" s="1117"/>
      <c r="O104" s="1117"/>
      <c r="P104" s="1117"/>
      <c r="Q104" s="1118"/>
    </row>
    <row r="105" spans="1:17" s="2" customFormat="1" ht="24" customHeight="1" x14ac:dyDescent="0.25">
      <c r="A105" s="6"/>
      <c r="B105" s="72" t="s">
        <v>83</v>
      </c>
      <c r="C105" s="1104"/>
      <c r="D105" s="1105"/>
      <c r="E105" s="69"/>
      <c r="F105" s="24">
        <f>SUM(F106:F107)</f>
        <v>361</v>
      </c>
      <c r="G105" s="222">
        <f t="shared" ref="G105:N105" si="13">SUM(G106:G107)</f>
        <v>344</v>
      </c>
      <c r="H105" s="222">
        <f t="shared" si="13"/>
        <v>390</v>
      </c>
      <c r="I105" s="222">
        <f t="shared" si="13"/>
        <v>508</v>
      </c>
      <c r="J105" s="222">
        <f t="shared" si="13"/>
        <v>512</v>
      </c>
      <c r="K105" s="222">
        <f t="shared" si="13"/>
        <v>499</v>
      </c>
      <c r="L105" s="222">
        <f t="shared" si="13"/>
        <v>469</v>
      </c>
      <c r="M105" s="222">
        <f t="shared" si="13"/>
        <v>452</v>
      </c>
      <c r="N105" s="222">
        <f t="shared" si="13"/>
        <v>442</v>
      </c>
      <c r="O105" s="222">
        <f>SUM(O106:O107)</f>
        <v>396</v>
      </c>
      <c r="P105" s="222">
        <f>SUM(P106:P107)</f>
        <v>399</v>
      </c>
      <c r="Q105" s="267">
        <f>SUM(Q106:Q107)</f>
        <v>389</v>
      </c>
    </row>
    <row r="106" spans="1:17" s="2" customFormat="1" ht="24" customHeight="1" x14ac:dyDescent="0.25">
      <c r="A106" s="6"/>
      <c r="B106" s="185" t="s">
        <v>84</v>
      </c>
      <c r="C106" s="1104"/>
      <c r="D106" s="1105"/>
      <c r="E106" s="69"/>
      <c r="F106" s="43">
        <v>347</v>
      </c>
      <c r="G106" s="44">
        <v>330</v>
      </c>
      <c r="H106" s="44">
        <v>225</v>
      </c>
      <c r="I106" s="44">
        <v>376</v>
      </c>
      <c r="J106" s="44">
        <v>370</v>
      </c>
      <c r="K106" s="44">
        <v>344</v>
      </c>
      <c r="L106" s="44">
        <v>320</v>
      </c>
      <c r="M106" s="44">
        <v>296</v>
      </c>
      <c r="N106" s="44">
        <v>278</v>
      </c>
      <c r="O106" s="44">
        <v>242</v>
      </c>
      <c r="P106" s="256">
        <v>256</v>
      </c>
      <c r="Q106" s="45">
        <v>240</v>
      </c>
    </row>
    <row r="107" spans="1:17" s="2" customFormat="1" ht="24" customHeight="1" x14ac:dyDescent="0.25">
      <c r="A107" s="6"/>
      <c r="B107" s="185" t="s">
        <v>85</v>
      </c>
      <c r="C107" s="1104"/>
      <c r="D107" s="1105"/>
      <c r="E107" s="69"/>
      <c r="F107" s="43">
        <v>14</v>
      </c>
      <c r="G107" s="44">
        <v>14</v>
      </c>
      <c r="H107" s="44">
        <v>165</v>
      </c>
      <c r="I107" s="44">
        <v>132</v>
      </c>
      <c r="J107" s="44">
        <v>142</v>
      </c>
      <c r="K107" s="44">
        <v>155</v>
      </c>
      <c r="L107" s="44">
        <v>149</v>
      </c>
      <c r="M107" s="44">
        <v>156</v>
      </c>
      <c r="N107" s="44">
        <v>164</v>
      </c>
      <c r="O107" s="44">
        <v>154</v>
      </c>
      <c r="P107" s="256">
        <v>143</v>
      </c>
      <c r="Q107" s="45">
        <v>149</v>
      </c>
    </row>
    <row r="108" spans="1:17" s="2" customFormat="1" ht="24" customHeight="1" x14ac:dyDescent="0.25">
      <c r="A108" s="6"/>
      <c r="B108" s="71" t="s">
        <v>86</v>
      </c>
      <c r="C108" s="1104"/>
      <c r="D108" s="1105"/>
      <c r="E108" s="69"/>
      <c r="F108" s="106">
        <v>73175</v>
      </c>
      <c r="G108" s="107">
        <v>69695</v>
      </c>
      <c r="H108" s="107">
        <v>66696</v>
      </c>
      <c r="I108" s="36" t="s">
        <v>136</v>
      </c>
      <c r="J108" s="216">
        <f>23466+76642</f>
        <v>100108</v>
      </c>
      <c r="K108" s="107">
        <f>27933+69217+181</f>
        <v>97331</v>
      </c>
      <c r="L108" s="107">
        <f>25071+66073</f>
        <v>91144</v>
      </c>
      <c r="M108" s="107">
        <v>57977</v>
      </c>
      <c r="N108" s="107">
        <f>26004+59264+10344+3494</f>
        <v>99106</v>
      </c>
      <c r="O108" s="108">
        <f>23798+50184</f>
        <v>73982</v>
      </c>
      <c r="P108" s="259">
        <f>20467+53793+10740+3313</f>
        <v>88313</v>
      </c>
      <c r="Q108" s="197">
        <f>23920+50348+7350+3313</f>
        <v>84931</v>
      </c>
    </row>
    <row r="109" spans="1:17" x14ac:dyDescent="0.3">
      <c r="A109" s="5"/>
      <c r="B109" s="1116" t="s">
        <v>89</v>
      </c>
      <c r="C109" s="1117"/>
      <c r="D109" s="1117"/>
      <c r="E109" s="1117"/>
      <c r="F109" s="1117"/>
      <c r="G109" s="1117"/>
      <c r="H109" s="1117"/>
      <c r="I109" s="1117"/>
      <c r="J109" s="1117"/>
      <c r="K109" s="1117"/>
      <c r="L109" s="1117"/>
      <c r="M109" s="1117"/>
      <c r="N109" s="1117"/>
      <c r="O109" s="1117"/>
      <c r="P109" s="1117"/>
      <c r="Q109" s="1118"/>
    </row>
    <row r="110" spans="1:17" s="2" customFormat="1" ht="24" customHeight="1" x14ac:dyDescent="0.25">
      <c r="A110" s="6"/>
      <c r="B110" s="72" t="s">
        <v>90</v>
      </c>
      <c r="C110" s="1104"/>
      <c r="D110" s="1105"/>
      <c r="E110" s="69"/>
      <c r="F110" s="24">
        <v>423</v>
      </c>
      <c r="G110" s="25">
        <v>445</v>
      </c>
      <c r="H110" s="25">
        <v>452</v>
      </c>
      <c r="I110" s="25">
        <v>470</v>
      </c>
      <c r="J110" s="25">
        <v>407</v>
      </c>
      <c r="K110" s="25">
        <v>383</v>
      </c>
      <c r="L110" s="25">
        <v>386</v>
      </c>
      <c r="M110" s="25">
        <v>343</v>
      </c>
      <c r="N110" s="25">
        <v>402</v>
      </c>
      <c r="O110" s="25">
        <v>462</v>
      </c>
      <c r="P110" s="25">
        <v>456</v>
      </c>
      <c r="Q110" s="201" t="s">
        <v>136</v>
      </c>
    </row>
    <row r="111" spans="1:17" s="2" customFormat="1" ht="39.6" customHeight="1" x14ac:dyDescent="0.25">
      <c r="A111" s="6"/>
      <c r="B111" s="109" t="s">
        <v>91</v>
      </c>
      <c r="C111" s="1140"/>
      <c r="D111" s="1141"/>
      <c r="E111" s="69"/>
      <c r="F111" s="227">
        <v>8</v>
      </c>
      <c r="G111" s="236">
        <v>5</v>
      </c>
      <c r="H111" s="231" t="s">
        <v>136</v>
      </c>
      <c r="I111" s="231" t="s">
        <v>136</v>
      </c>
      <c r="J111" s="231" t="s">
        <v>136</v>
      </c>
      <c r="K111" s="231" t="s">
        <v>136</v>
      </c>
      <c r="L111" s="231" t="s">
        <v>136</v>
      </c>
      <c r="M111" s="231" t="s">
        <v>136</v>
      </c>
      <c r="N111" s="231" t="s">
        <v>136</v>
      </c>
      <c r="O111" s="231" t="s">
        <v>136</v>
      </c>
      <c r="P111" s="231" t="s">
        <v>136</v>
      </c>
      <c r="Q111" s="271" t="s">
        <v>136</v>
      </c>
    </row>
    <row r="112" spans="1:17" s="2" customFormat="1" ht="24" customHeight="1" x14ac:dyDescent="0.25">
      <c r="A112" s="6"/>
      <c r="B112" s="71" t="s">
        <v>92</v>
      </c>
      <c r="C112" s="1140"/>
      <c r="D112" s="1141"/>
      <c r="E112" s="69"/>
      <c r="F112" s="213">
        <v>0.41670000000000001</v>
      </c>
      <c r="G112" s="196">
        <v>0.5</v>
      </c>
      <c r="H112" s="225" t="s">
        <v>136</v>
      </c>
      <c r="I112" s="225" t="s">
        <v>136</v>
      </c>
      <c r="J112" s="225" t="s">
        <v>136</v>
      </c>
      <c r="K112" s="225" t="s">
        <v>136</v>
      </c>
      <c r="L112" s="225" t="s">
        <v>136</v>
      </c>
      <c r="M112" s="225" t="s">
        <v>136</v>
      </c>
      <c r="N112" s="225" t="s">
        <v>136</v>
      </c>
      <c r="O112" s="225" t="s">
        <v>136</v>
      </c>
      <c r="P112" s="225" t="s">
        <v>136</v>
      </c>
      <c r="Q112" s="272" t="s">
        <v>136</v>
      </c>
    </row>
    <row r="113" spans="1:17" s="2" customFormat="1" ht="24" customHeight="1" x14ac:dyDescent="0.25">
      <c r="A113" s="6"/>
      <c r="B113" s="70" t="s">
        <v>132</v>
      </c>
      <c r="C113" s="73">
        <v>100</v>
      </c>
      <c r="D113" s="116">
        <v>83</v>
      </c>
      <c r="E113" s="169">
        <f>SUM(F113:Q113)</f>
        <v>0</v>
      </c>
      <c r="F113" s="227">
        <v>0</v>
      </c>
      <c r="G113" s="237">
        <v>0</v>
      </c>
      <c r="H113" s="225" t="s">
        <v>136</v>
      </c>
      <c r="I113" s="225" t="s">
        <v>136</v>
      </c>
      <c r="J113" s="225" t="s">
        <v>136</v>
      </c>
      <c r="K113" s="225" t="s">
        <v>136</v>
      </c>
      <c r="L113" s="225" t="s">
        <v>136</v>
      </c>
      <c r="M113" s="225" t="s">
        <v>136</v>
      </c>
      <c r="N113" s="225" t="s">
        <v>136</v>
      </c>
      <c r="O113" s="225" t="s">
        <v>136</v>
      </c>
      <c r="P113" s="225" t="s">
        <v>136</v>
      </c>
      <c r="Q113" s="272" t="s">
        <v>136</v>
      </c>
    </row>
    <row r="114" spans="1:17" s="2" customFormat="1" ht="24" customHeight="1" x14ac:dyDescent="0.25">
      <c r="A114" s="6"/>
      <c r="B114" s="118" t="s">
        <v>133</v>
      </c>
      <c r="C114" s="119">
        <v>93</v>
      </c>
      <c r="D114" s="120">
        <v>49</v>
      </c>
      <c r="E114" s="170">
        <f>SUM(F114:Q114)</f>
        <v>0</v>
      </c>
      <c r="F114" s="251">
        <v>0</v>
      </c>
      <c r="G114" s="238">
        <v>0</v>
      </c>
      <c r="H114" s="226" t="s">
        <v>136</v>
      </c>
      <c r="I114" s="226" t="s">
        <v>136</v>
      </c>
      <c r="J114" s="226" t="s">
        <v>136</v>
      </c>
      <c r="K114" s="226" t="s">
        <v>136</v>
      </c>
      <c r="L114" s="226" t="s">
        <v>136</v>
      </c>
      <c r="M114" s="226" t="s">
        <v>136</v>
      </c>
      <c r="N114" s="226" t="s">
        <v>136</v>
      </c>
      <c r="O114" s="226" t="s">
        <v>136</v>
      </c>
      <c r="P114" s="226" t="s">
        <v>136</v>
      </c>
      <c r="Q114" s="273" t="s">
        <v>136</v>
      </c>
    </row>
    <row r="115" spans="1:17" x14ac:dyDescent="0.3">
      <c r="A115" s="5"/>
      <c r="B115" s="1098" t="s">
        <v>93</v>
      </c>
      <c r="C115" s="1099"/>
      <c r="D115" s="1099"/>
      <c r="E115" s="1099"/>
      <c r="F115" s="1099"/>
      <c r="G115" s="1099"/>
      <c r="H115" s="1099"/>
      <c r="I115" s="1099"/>
      <c r="J115" s="1099"/>
      <c r="K115" s="1099"/>
      <c r="L115" s="1099"/>
      <c r="M115" s="1099"/>
      <c r="N115" s="1099"/>
      <c r="O115" s="1099"/>
      <c r="P115" s="1099"/>
      <c r="Q115" s="1100"/>
    </row>
    <row r="116" spans="1:17" x14ac:dyDescent="0.3">
      <c r="A116" s="5"/>
      <c r="B116" s="1124" t="s">
        <v>94</v>
      </c>
      <c r="C116" s="1125"/>
      <c r="D116" s="1125"/>
      <c r="E116" s="1125"/>
      <c r="F116" s="1125"/>
      <c r="G116" s="1125"/>
      <c r="H116" s="1125"/>
      <c r="I116" s="1125"/>
      <c r="J116" s="1125"/>
      <c r="K116" s="1125"/>
      <c r="L116" s="1125"/>
      <c r="M116" s="1125"/>
      <c r="N116" s="1125"/>
      <c r="O116" s="1125"/>
      <c r="P116" s="1125"/>
      <c r="Q116" s="1126"/>
    </row>
    <row r="117" spans="1:17" s="2" customFormat="1" ht="24" customHeight="1" x14ac:dyDescent="0.25">
      <c r="A117" s="6"/>
      <c r="B117" s="72" t="s">
        <v>125</v>
      </c>
      <c r="C117" s="124">
        <v>469350</v>
      </c>
      <c r="D117" s="125">
        <v>448296</v>
      </c>
      <c r="E117" s="192">
        <f>SUM(F117:Q117)</f>
        <v>481916.58</v>
      </c>
      <c r="F117" s="126">
        <f>SUM(F118:F123)</f>
        <v>23245</v>
      </c>
      <c r="G117" s="221">
        <f t="shared" ref="G117:O117" si="14">SUM(G118:G123)</f>
        <v>17705.93</v>
      </c>
      <c r="H117" s="221">
        <f t="shared" si="14"/>
        <v>19615</v>
      </c>
      <c r="I117" s="221">
        <f t="shared" si="14"/>
        <v>24091</v>
      </c>
      <c r="J117" s="221">
        <f t="shared" si="14"/>
        <v>24091</v>
      </c>
      <c r="K117" s="221">
        <f t="shared" si="14"/>
        <v>24540.03</v>
      </c>
      <c r="L117" s="221">
        <f t="shared" si="14"/>
        <v>24803.309999999998</v>
      </c>
      <c r="M117" s="221">
        <f t="shared" si="14"/>
        <v>24091.279999999999</v>
      </c>
      <c r="N117" s="221">
        <f t="shared" si="14"/>
        <v>160880.97</v>
      </c>
      <c r="O117" s="221">
        <f t="shared" si="14"/>
        <v>46519.31</v>
      </c>
      <c r="P117" s="221">
        <f>SUM(P118:P123)</f>
        <v>57050</v>
      </c>
      <c r="Q117" s="274">
        <f>SUM(Q118:Q123)</f>
        <v>35283.75</v>
      </c>
    </row>
    <row r="118" spans="1:17" s="2" customFormat="1" ht="24" customHeight="1" x14ac:dyDescent="0.25">
      <c r="A118" s="6"/>
      <c r="B118" s="191" t="s">
        <v>126</v>
      </c>
      <c r="C118" s="124">
        <v>10844</v>
      </c>
      <c r="D118" s="125">
        <v>8290</v>
      </c>
      <c r="E118" s="192">
        <f t="shared" ref="E118:E123" si="15">SUM(F118:Q118)</f>
        <v>6080</v>
      </c>
      <c r="F118" s="126">
        <v>100</v>
      </c>
      <c r="G118" s="127">
        <v>100</v>
      </c>
      <c r="H118" s="127">
        <v>100</v>
      </c>
      <c r="I118" s="127">
        <v>90</v>
      </c>
      <c r="J118" s="127">
        <v>90</v>
      </c>
      <c r="K118" s="127">
        <v>140</v>
      </c>
      <c r="L118" s="127">
        <v>336</v>
      </c>
      <c r="M118" s="127">
        <v>90</v>
      </c>
      <c r="N118" s="127">
        <v>2186</v>
      </c>
      <c r="O118" s="127">
        <v>1997</v>
      </c>
      <c r="P118" s="221">
        <v>761</v>
      </c>
      <c r="Q118" s="128">
        <v>90</v>
      </c>
    </row>
    <row r="119" spans="1:17" s="2" customFormat="1" ht="24" customHeight="1" x14ac:dyDescent="0.25">
      <c r="A119" s="6"/>
      <c r="B119" s="185" t="s">
        <v>127</v>
      </c>
      <c r="C119" s="130">
        <v>443002</v>
      </c>
      <c r="D119" s="131">
        <v>406981</v>
      </c>
      <c r="E119" s="193">
        <f t="shared" si="15"/>
        <v>449180.10999999993</v>
      </c>
      <c r="F119" s="132">
        <v>22440</v>
      </c>
      <c r="G119" s="133">
        <v>15596.53</v>
      </c>
      <c r="H119" s="133">
        <v>18050</v>
      </c>
      <c r="I119" s="133">
        <v>22654</v>
      </c>
      <c r="J119" s="133">
        <v>22654</v>
      </c>
      <c r="K119" s="133">
        <v>23722.43</v>
      </c>
      <c r="L119" s="133">
        <v>23605.71</v>
      </c>
      <c r="M119" s="133">
        <v>22654.28</v>
      </c>
      <c r="N119" s="134">
        <v>155864.37</v>
      </c>
      <c r="O119" s="133">
        <v>40589.29</v>
      </c>
      <c r="P119" s="257">
        <v>52140.4</v>
      </c>
      <c r="Q119" s="135">
        <v>29209.1</v>
      </c>
    </row>
    <row r="120" spans="1:17" s="2" customFormat="1" ht="24" customHeight="1" x14ac:dyDescent="0.25">
      <c r="A120" s="6"/>
      <c r="B120" s="185" t="s">
        <v>128</v>
      </c>
      <c r="C120" s="130">
        <v>9700</v>
      </c>
      <c r="D120" s="131">
        <v>17109</v>
      </c>
      <c r="E120" s="193">
        <f t="shared" si="15"/>
        <v>11384.47</v>
      </c>
      <c r="F120" s="132">
        <v>580</v>
      </c>
      <c r="G120" s="133">
        <v>760</v>
      </c>
      <c r="H120" s="133">
        <v>500</v>
      </c>
      <c r="I120" s="133">
        <v>740</v>
      </c>
      <c r="J120" s="133">
        <v>740</v>
      </c>
      <c r="K120" s="133">
        <v>540</v>
      </c>
      <c r="L120" s="133">
        <v>724</v>
      </c>
      <c r="M120" s="133">
        <v>740</v>
      </c>
      <c r="N120" s="133">
        <v>1063</v>
      </c>
      <c r="O120" s="133">
        <v>2514.42</v>
      </c>
      <c r="P120" s="257">
        <v>1332</v>
      </c>
      <c r="Q120" s="135">
        <v>1151.05</v>
      </c>
    </row>
    <row r="121" spans="1:17" s="2" customFormat="1" ht="24" customHeight="1" x14ac:dyDescent="0.25">
      <c r="A121" s="6"/>
      <c r="B121" s="185" t="s">
        <v>129</v>
      </c>
      <c r="C121" s="130">
        <v>5415</v>
      </c>
      <c r="D121" s="131">
        <v>10097</v>
      </c>
      <c r="E121" s="193">
        <f t="shared" si="15"/>
        <v>15272.000000000002</v>
      </c>
      <c r="F121" s="132">
        <v>125</v>
      </c>
      <c r="G121" s="133">
        <v>1249.4000000000001</v>
      </c>
      <c r="H121" s="133">
        <v>965</v>
      </c>
      <c r="I121" s="133">
        <v>607</v>
      </c>
      <c r="J121" s="133">
        <v>607</v>
      </c>
      <c r="K121" s="133">
        <v>137.6</v>
      </c>
      <c r="L121" s="133">
        <v>137.6</v>
      </c>
      <c r="M121" s="133">
        <v>607</v>
      </c>
      <c r="N121" s="133">
        <v>1767.6</v>
      </c>
      <c r="O121" s="133">
        <v>1418.6</v>
      </c>
      <c r="P121" s="257">
        <v>2816.6</v>
      </c>
      <c r="Q121" s="135">
        <v>4833.6000000000004</v>
      </c>
    </row>
    <row r="122" spans="1:17" s="2" customFormat="1" ht="24" customHeight="1" x14ac:dyDescent="0.25">
      <c r="A122" s="6"/>
      <c r="B122" s="185" t="s">
        <v>130</v>
      </c>
      <c r="C122" s="130">
        <v>140</v>
      </c>
      <c r="D122" s="131">
        <v>5526</v>
      </c>
      <c r="E122" s="193">
        <f t="shared" si="15"/>
        <v>0</v>
      </c>
      <c r="F122" s="132">
        <v>0</v>
      </c>
      <c r="G122" s="133">
        <v>0</v>
      </c>
      <c r="H122" s="133">
        <v>0</v>
      </c>
      <c r="I122" s="133">
        <v>0</v>
      </c>
      <c r="J122" s="133">
        <v>0</v>
      </c>
      <c r="K122" s="133">
        <v>0</v>
      </c>
      <c r="L122" s="133">
        <v>0</v>
      </c>
      <c r="M122" s="133">
        <v>0</v>
      </c>
      <c r="N122" s="133">
        <v>0</v>
      </c>
      <c r="O122" s="133">
        <v>0</v>
      </c>
      <c r="P122" s="257">
        <v>0</v>
      </c>
      <c r="Q122" s="135">
        <v>0</v>
      </c>
    </row>
    <row r="123" spans="1:17" s="2" customFormat="1" ht="24" customHeight="1" x14ac:dyDescent="0.25">
      <c r="A123" s="6"/>
      <c r="B123" s="188" t="s">
        <v>131</v>
      </c>
      <c r="C123" s="136">
        <v>248</v>
      </c>
      <c r="D123" s="137">
        <v>293</v>
      </c>
      <c r="E123" s="194">
        <f t="shared" si="15"/>
        <v>0</v>
      </c>
      <c r="F123" s="138">
        <v>0</v>
      </c>
      <c r="G123" s="139">
        <v>0</v>
      </c>
      <c r="H123" s="139">
        <v>0</v>
      </c>
      <c r="I123" s="139">
        <v>0</v>
      </c>
      <c r="J123" s="139">
        <v>0</v>
      </c>
      <c r="K123" s="139">
        <v>0</v>
      </c>
      <c r="L123" s="139">
        <v>0</v>
      </c>
      <c r="M123" s="139">
        <v>0</v>
      </c>
      <c r="N123" s="139">
        <v>0</v>
      </c>
      <c r="O123" s="139">
        <v>0</v>
      </c>
      <c r="P123" s="258">
        <v>0</v>
      </c>
      <c r="Q123" s="140">
        <v>0</v>
      </c>
    </row>
    <row r="124" spans="1:17" x14ac:dyDescent="0.3">
      <c r="A124" s="5"/>
      <c r="B124" s="1124" t="s">
        <v>95</v>
      </c>
      <c r="C124" s="1125"/>
      <c r="D124" s="1125"/>
      <c r="E124" s="1125"/>
      <c r="F124" s="1125"/>
      <c r="G124" s="1125"/>
      <c r="H124" s="1125"/>
      <c r="I124" s="1125"/>
      <c r="J124" s="1125"/>
      <c r="K124" s="1125"/>
      <c r="L124" s="1125"/>
      <c r="M124" s="1125"/>
      <c r="N124" s="1125"/>
      <c r="O124" s="1125"/>
      <c r="P124" s="1125"/>
      <c r="Q124" s="1126"/>
    </row>
    <row r="125" spans="1:17" s="2" customFormat="1" ht="24" customHeight="1" x14ac:dyDescent="0.25">
      <c r="A125" s="6"/>
      <c r="B125" s="72" t="s">
        <v>96</v>
      </c>
      <c r="C125" s="73">
        <f>SUM(C126:C127)</f>
        <v>111125</v>
      </c>
      <c r="D125" s="40">
        <f>SUM(D126:D127)</f>
        <v>106647</v>
      </c>
      <c r="E125" s="159">
        <f>SUM(F125:Q125)</f>
        <v>79280</v>
      </c>
      <c r="F125" s="74">
        <f>SUM(F126:F127)</f>
        <v>6853</v>
      </c>
      <c r="G125" s="224">
        <f t="shared" ref="G125:O125" si="16">SUM(G126:G127)</f>
        <v>6977</v>
      </c>
      <c r="H125" s="224">
        <f t="shared" si="16"/>
        <v>6716</v>
      </c>
      <c r="I125" s="224">
        <f t="shared" si="16"/>
        <v>7146</v>
      </c>
      <c r="J125" s="224">
        <f t="shared" si="16"/>
        <v>6657</v>
      </c>
      <c r="K125" s="224">
        <f t="shared" si="16"/>
        <v>6724</v>
      </c>
      <c r="L125" s="224">
        <f t="shared" si="16"/>
        <v>7837</v>
      </c>
      <c r="M125" s="224">
        <f t="shared" si="16"/>
        <v>5704</v>
      </c>
      <c r="N125" s="224">
        <f t="shared" si="16"/>
        <v>6808</v>
      </c>
      <c r="O125" s="224">
        <f t="shared" si="16"/>
        <v>5984</v>
      </c>
      <c r="P125" s="222">
        <f>SUM(P126:P127)</f>
        <v>5737</v>
      </c>
      <c r="Q125" s="267">
        <f>SUM(Q126:Q127)</f>
        <v>6137</v>
      </c>
    </row>
    <row r="126" spans="1:17" s="2" customFormat="1" ht="24" customHeight="1" x14ac:dyDescent="0.25">
      <c r="A126" s="6"/>
      <c r="B126" s="191" t="s">
        <v>97</v>
      </c>
      <c r="C126" s="73">
        <v>109165</v>
      </c>
      <c r="D126" s="40">
        <v>98076</v>
      </c>
      <c r="E126" s="159">
        <f>SUM(F126:Q126)</f>
        <v>71777</v>
      </c>
      <c r="F126" s="74">
        <f>2172+2+215+713+456+93+8+563+256+339+59+47+61+705+588</f>
        <v>6277</v>
      </c>
      <c r="G126" s="224">
        <f>2191+211+680+418+499+216+245+60+431+53+512+781</f>
        <v>6297</v>
      </c>
      <c r="H126" s="224">
        <f>1144+61+213+697+404+457+216+1226+267+53+51+41+489+723</f>
        <v>6042</v>
      </c>
      <c r="I126" s="224">
        <f>1+8+250+755+403+484+205+2493+316+50+1+50+42+501+824</f>
        <v>6383</v>
      </c>
      <c r="J126" s="224">
        <f>2+7+50+169+519+352+422+181+1854+235+36+42+36+419+583+907</f>
        <v>5814</v>
      </c>
      <c r="K126" s="224">
        <f>13+224+223+646+426+407+142+2515+248+42+25+34+519+595</f>
        <v>6059</v>
      </c>
      <c r="L126" s="224">
        <f>6+4+206+699+419+443+118+3649+250+67+28+8+60+600+603</f>
        <v>7160</v>
      </c>
      <c r="M126" s="224">
        <f>1+173+191+433+341+250+88+2335+182+20+22+31+50+490+538</f>
        <v>5145</v>
      </c>
      <c r="N126" s="224">
        <f>2+698+439+430+259+2840+198+27+37+42+651+596</f>
        <v>6219</v>
      </c>
      <c r="O126" s="224">
        <f>605+431+447+224+2141+218+1+20+47+37+1+686+709</f>
        <v>5567</v>
      </c>
      <c r="P126" s="222">
        <f>534+346+406+247+2005+221+6+16+59+42+597+728</f>
        <v>5207</v>
      </c>
      <c r="Q126" s="267">
        <f>695+416+465+162+2012+207+8+29+28+67+740+778</f>
        <v>5607</v>
      </c>
    </row>
    <row r="127" spans="1:17" s="2" customFormat="1" ht="24" customHeight="1" x14ac:dyDescent="0.25">
      <c r="A127" s="6"/>
      <c r="B127" s="185" t="s">
        <v>134</v>
      </c>
      <c r="C127" s="77">
        <v>1960</v>
      </c>
      <c r="D127" s="42">
        <v>8571</v>
      </c>
      <c r="E127" s="163">
        <f>SUM(F127:Q127)</f>
        <v>7503</v>
      </c>
      <c r="F127" s="78">
        <v>576</v>
      </c>
      <c r="G127" s="218">
        <v>680</v>
      </c>
      <c r="H127" s="218">
        <v>674</v>
      </c>
      <c r="I127" s="218">
        <v>763</v>
      </c>
      <c r="J127" s="218">
        <v>843</v>
      </c>
      <c r="K127" s="218">
        <v>665</v>
      </c>
      <c r="L127" s="218">
        <v>677</v>
      </c>
      <c r="M127" s="218">
        <v>559</v>
      </c>
      <c r="N127" s="218">
        <v>589</v>
      </c>
      <c r="O127" s="218">
        <v>417</v>
      </c>
      <c r="P127" s="256">
        <v>530</v>
      </c>
      <c r="Q127" s="275">
        <v>530</v>
      </c>
    </row>
    <row r="128" spans="1:17" s="2" customFormat="1" ht="24" customHeight="1" x14ac:dyDescent="0.25">
      <c r="A128" s="6"/>
      <c r="B128" s="70" t="s">
        <v>135</v>
      </c>
      <c r="C128" s="77">
        <v>240842</v>
      </c>
      <c r="D128" s="42">
        <v>191755</v>
      </c>
      <c r="E128" s="163">
        <f>SUM(F128:Q128)</f>
        <v>195104</v>
      </c>
      <c r="F128" s="78">
        <v>16426</v>
      </c>
      <c r="G128" s="218">
        <v>16143</v>
      </c>
      <c r="H128" s="218">
        <v>18515</v>
      </c>
      <c r="I128" s="218" t="s">
        <v>144</v>
      </c>
      <c r="J128" s="218">
        <v>16408</v>
      </c>
      <c r="K128" s="218">
        <v>18711</v>
      </c>
      <c r="L128" s="218">
        <v>21381</v>
      </c>
      <c r="M128" s="218">
        <v>13652</v>
      </c>
      <c r="N128" s="218">
        <v>19442</v>
      </c>
      <c r="O128" s="218">
        <v>19002</v>
      </c>
      <c r="P128" s="256">
        <v>17557</v>
      </c>
      <c r="Q128" s="275">
        <v>17867</v>
      </c>
    </row>
    <row r="129" spans="1:18" s="2" customFormat="1" ht="24" customHeight="1" x14ac:dyDescent="0.25">
      <c r="A129" s="6"/>
      <c r="B129" s="185" t="s">
        <v>98</v>
      </c>
      <c r="C129" s="77">
        <v>238600</v>
      </c>
      <c r="D129" s="42">
        <v>190196</v>
      </c>
      <c r="E129" s="163">
        <f>SUM(F129:Q129)</f>
        <v>193034</v>
      </c>
      <c r="F129" s="81">
        <v>16235</v>
      </c>
      <c r="G129" s="219">
        <v>16018</v>
      </c>
      <c r="H129" s="219">
        <v>18294</v>
      </c>
      <c r="I129" s="219" t="s">
        <v>144</v>
      </c>
      <c r="J129" s="219">
        <v>16343</v>
      </c>
      <c r="K129" s="219">
        <v>18481</v>
      </c>
      <c r="L129" s="219">
        <v>21142</v>
      </c>
      <c r="M129" s="219">
        <v>13481</v>
      </c>
      <c r="N129" s="219">
        <v>19202</v>
      </c>
      <c r="O129" s="219">
        <v>18812</v>
      </c>
      <c r="P129" s="234">
        <v>17373</v>
      </c>
      <c r="Q129" s="276">
        <v>17653</v>
      </c>
    </row>
    <row r="130" spans="1:18" s="2" customFormat="1" ht="24" customHeight="1" x14ac:dyDescent="0.25">
      <c r="A130" s="6"/>
      <c r="B130" s="188" t="s">
        <v>118</v>
      </c>
      <c r="C130" s="141">
        <f>C129/C128</f>
        <v>0.99069099243487435</v>
      </c>
      <c r="D130" s="142">
        <f>D129/D128</f>
        <v>0.99186983390263617</v>
      </c>
      <c r="E130" s="174">
        <f>E129/E128</f>
        <v>0.98939027390519929</v>
      </c>
      <c r="F130" s="113">
        <f t="shared" ref="F130:Q130" si="17">F129/F128</f>
        <v>0.98837209302325579</v>
      </c>
      <c r="G130" s="220">
        <f t="shared" si="17"/>
        <v>0.99225670569286994</v>
      </c>
      <c r="H130" s="233">
        <f t="shared" si="17"/>
        <v>0.9880637321091007</v>
      </c>
      <c r="I130" s="233" t="s">
        <v>144</v>
      </c>
      <c r="J130" s="233">
        <f>J129/J128</f>
        <v>0.99603851779619701</v>
      </c>
      <c r="K130" s="233">
        <f t="shared" si="17"/>
        <v>0.98770776548554329</v>
      </c>
      <c r="L130" s="233">
        <f t="shared" si="17"/>
        <v>0.98882185117627797</v>
      </c>
      <c r="M130" s="233">
        <f t="shared" si="17"/>
        <v>0.98747436273073541</v>
      </c>
      <c r="N130" s="233">
        <f t="shared" si="17"/>
        <v>0.98765559098858147</v>
      </c>
      <c r="O130" s="233">
        <f t="shared" si="17"/>
        <v>0.99000105252078729</v>
      </c>
      <c r="P130" s="233">
        <f t="shared" si="17"/>
        <v>0.98951984963262518</v>
      </c>
      <c r="Q130" s="277">
        <f t="shared" si="17"/>
        <v>0.98802261151844184</v>
      </c>
    </row>
    <row r="131" spans="1:18" x14ac:dyDescent="0.3">
      <c r="A131" s="5"/>
      <c r="B131" s="1124" t="s">
        <v>99</v>
      </c>
      <c r="C131" s="1125"/>
      <c r="D131" s="1125"/>
      <c r="E131" s="1125"/>
      <c r="F131" s="1125"/>
      <c r="G131" s="1125"/>
      <c r="H131" s="1125"/>
      <c r="I131" s="1125"/>
      <c r="J131" s="1125"/>
      <c r="K131" s="1125"/>
      <c r="L131" s="1125"/>
      <c r="M131" s="1125"/>
      <c r="N131" s="1125"/>
      <c r="O131" s="1125"/>
      <c r="P131" s="1125"/>
      <c r="Q131" s="1126"/>
    </row>
    <row r="132" spans="1:18" s="2" customFormat="1" ht="24" customHeight="1" x14ac:dyDescent="0.25">
      <c r="A132" s="6"/>
      <c r="B132" s="72" t="s">
        <v>106</v>
      </c>
      <c r="C132" s="61">
        <f>SUM(C133:C138)</f>
        <v>2427</v>
      </c>
      <c r="D132" s="62">
        <f>SUM(D133:D138)</f>
        <v>2619</v>
      </c>
      <c r="E132" s="161">
        <f>SUM(F132:Q132)</f>
        <v>2853</v>
      </c>
      <c r="F132" s="24">
        <f>SUM(F133:F138)</f>
        <v>302</v>
      </c>
      <c r="G132" s="222">
        <f t="shared" ref="G132:O132" si="18">SUM(G133:G138)</f>
        <v>186</v>
      </c>
      <c r="H132" s="222">
        <f t="shared" si="18"/>
        <v>634</v>
      </c>
      <c r="I132" s="222">
        <f t="shared" si="18"/>
        <v>273</v>
      </c>
      <c r="J132" s="222">
        <f t="shared" si="18"/>
        <v>158</v>
      </c>
      <c r="K132" s="222">
        <f t="shared" si="18"/>
        <v>131</v>
      </c>
      <c r="L132" s="222">
        <f t="shared" si="18"/>
        <v>168</v>
      </c>
      <c r="M132" s="222">
        <f t="shared" si="18"/>
        <v>124</v>
      </c>
      <c r="N132" s="222">
        <f t="shared" si="18"/>
        <v>505</v>
      </c>
      <c r="O132" s="222">
        <f t="shared" si="18"/>
        <v>133</v>
      </c>
      <c r="P132" s="222">
        <f>SUM(P133:P138)</f>
        <v>134</v>
      </c>
      <c r="Q132" s="267">
        <f>SUM(Q133:Q138)</f>
        <v>105</v>
      </c>
    </row>
    <row r="133" spans="1:18" s="2" customFormat="1" ht="36" customHeight="1" x14ac:dyDescent="0.25">
      <c r="A133" s="6"/>
      <c r="B133" s="183" t="s">
        <v>100</v>
      </c>
      <c r="C133" s="51">
        <v>215</v>
      </c>
      <c r="D133" s="52">
        <v>523</v>
      </c>
      <c r="E133" s="162">
        <f t="shared" ref="E133:E138" si="19">SUM(F133:Q133)</f>
        <v>575</v>
      </c>
      <c r="F133" s="43">
        <v>4</v>
      </c>
      <c r="G133" s="44">
        <v>40</v>
      </c>
      <c r="H133" s="44">
        <v>15</v>
      </c>
      <c r="I133" s="44">
        <v>41</v>
      </c>
      <c r="J133" s="44">
        <v>0</v>
      </c>
      <c r="K133" s="44">
        <v>0</v>
      </c>
      <c r="L133" s="44">
        <v>20</v>
      </c>
      <c r="M133" s="44">
        <v>62</v>
      </c>
      <c r="N133" s="44">
        <v>374</v>
      </c>
      <c r="O133" s="44">
        <v>12</v>
      </c>
      <c r="P133" s="44">
        <v>7</v>
      </c>
      <c r="Q133" s="45">
        <v>0</v>
      </c>
    </row>
    <row r="134" spans="1:18" s="2" customFormat="1" ht="32.1" customHeight="1" x14ac:dyDescent="0.25">
      <c r="A134" s="6"/>
      <c r="B134" s="183" t="s">
        <v>101</v>
      </c>
      <c r="C134" s="51">
        <v>133</v>
      </c>
      <c r="D134" s="52">
        <v>0</v>
      </c>
      <c r="E134" s="162">
        <f t="shared" si="19"/>
        <v>0</v>
      </c>
      <c r="F134" s="43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5">
        <v>0</v>
      </c>
    </row>
    <row r="135" spans="1:18" s="2" customFormat="1" ht="33.6" customHeight="1" x14ac:dyDescent="0.25">
      <c r="A135" s="6"/>
      <c r="B135" s="183" t="s">
        <v>102</v>
      </c>
      <c r="C135" s="51">
        <v>284</v>
      </c>
      <c r="D135" s="52">
        <v>410</v>
      </c>
      <c r="E135" s="162">
        <f t="shared" si="19"/>
        <v>222</v>
      </c>
      <c r="F135" s="43">
        <v>0</v>
      </c>
      <c r="G135" s="44">
        <v>0</v>
      </c>
      <c r="H135" s="44">
        <v>0</v>
      </c>
      <c r="I135" s="44">
        <v>54</v>
      </c>
      <c r="J135" s="44">
        <v>57</v>
      </c>
      <c r="K135" s="44">
        <v>36</v>
      </c>
      <c r="L135" s="44">
        <v>0</v>
      </c>
      <c r="M135" s="44">
        <v>21</v>
      </c>
      <c r="N135" s="44">
        <v>35</v>
      </c>
      <c r="O135" s="44">
        <v>19</v>
      </c>
      <c r="P135" s="44">
        <v>0</v>
      </c>
      <c r="Q135" s="45">
        <v>0</v>
      </c>
    </row>
    <row r="136" spans="1:18" s="2" customFormat="1" ht="29.45" customHeight="1" x14ac:dyDescent="0.25">
      <c r="A136" s="6"/>
      <c r="B136" s="183" t="s">
        <v>103</v>
      </c>
      <c r="C136" s="51">
        <v>727</v>
      </c>
      <c r="D136" s="52">
        <v>910</v>
      </c>
      <c r="E136" s="162">
        <f t="shared" si="19"/>
        <v>843</v>
      </c>
      <c r="F136" s="43">
        <v>64</v>
      </c>
      <c r="G136" s="44">
        <v>74</v>
      </c>
      <c r="H136" s="44">
        <v>196</v>
      </c>
      <c r="I136" s="44">
        <v>127</v>
      </c>
      <c r="J136" s="44">
        <v>60</v>
      </c>
      <c r="K136" s="44">
        <v>45</v>
      </c>
      <c r="L136" s="44">
        <v>53</v>
      </c>
      <c r="M136" s="44">
        <v>20</v>
      </c>
      <c r="N136" s="44">
        <v>17</v>
      </c>
      <c r="O136" s="44">
        <v>51</v>
      </c>
      <c r="P136" s="44">
        <v>84</v>
      </c>
      <c r="Q136" s="45">
        <v>52</v>
      </c>
    </row>
    <row r="137" spans="1:18" s="2" customFormat="1" ht="24" customHeight="1" x14ac:dyDescent="0.25">
      <c r="A137" s="6"/>
      <c r="B137" s="185" t="s">
        <v>104</v>
      </c>
      <c r="C137" s="51">
        <v>751</v>
      </c>
      <c r="D137" s="52">
        <v>428</v>
      </c>
      <c r="E137" s="162">
        <f t="shared" si="19"/>
        <v>1065</v>
      </c>
      <c r="F137" s="43">
        <v>234</v>
      </c>
      <c r="G137" s="44">
        <v>72</v>
      </c>
      <c r="H137" s="44">
        <v>403</v>
      </c>
      <c r="I137" s="44">
        <v>51</v>
      </c>
      <c r="J137" s="44">
        <v>41</v>
      </c>
      <c r="K137" s="44">
        <v>41</v>
      </c>
      <c r="L137" s="44">
        <v>25</v>
      </c>
      <c r="M137" s="44">
        <v>21</v>
      </c>
      <c r="N137" s="44">
        <v>41</v>
      </c>
      <c r="O137" s="44">
        <v>51</v>
      </c>
      <c r="P137" s="44">
        <v>40</v>
      </c>
      <c r="Q137" s="45">
        <v>45</v>
      </c>
    </row>
    <row r="138" spans="1:18" s="2" customFormat="1" ht="24" customHeight="1" x14ac:dyDescent="0.25">
      <c r="A138" s="6"/>
      <c r="B138" s="189" t="s">
        <v>105</v>
      </c>
      <c r="C138" s="64">
        <v>317</v>
      </c>
      <c r="D138" s="65">
        <v>348</v>
      </c>
      <c r="E138" s="165">
        <f t="shared" si="19"/>
        <v>148</v>
      </c>
      <c r="F138" s="66">
        <v>0</v>
      </c>
      <c r="G138" s="67">
        <v>0</v>
      </c>
      <c r="H138" s="67">
        <v>20</v>
      </c>
      <c r="I138" s="67">
        <v>0</v>
      </c>
      <c r="J138" s="67">
        <v>0</v>
      </c>
      <c r="K138" s="67">
        <v>9</v>
      </c>
      <c r="L138" s="67">
        <v>70</v>
      </c>
      <c r="M138" s="67">
        <v>0</v>
      </c>
      <c r="N138" s="67">
        <v>38</v>
      </c>
      <c r="O138" s="67">
        <v>0</v>
      </c>
      <c r="P138" s="67">
        <v>3</v>
      </c>
      <c r="Q138" s="68">
        <v>8</v>
      </c>
    </row>
    <row r="139" spans="1:18" x14ac:dyDescent="0.3">
      <c r="A139" s="5"/>
      <c r="B139" s="1098" t="s">
        <v>107</v>
      </c>
      <c r="C139" s="1099"/>
      <c r="D139" s="1099"/>
      <c r="E139" s="1099"/>
      <c r="F139" s="1099"/>
      <c r="G139" s="1099"/>
      <c r="H139" s="1099"/>
      <c r="I139" s="1099"/>
      <c r="J139" s="1099"/>
      <c r="K139" s="1099"/>
      <c r="L139" s="1099"/>
      <c r="M139" s="1099"/>
      <c r="N139" s="1099"/>
      <c r="O139" s="1099"/>
      <c r="P139" s="1099"/>
      <c r="Q139" s="1100"/>
    </row>
    <row r="140" spans="1:18" s="2" customFormat="1" ht="24" customHeight="1" x14ac:dyDescent="0.25">
      <c r="A140" s="6"/>
      <c r="B140" s="72" t="s">
        <v>124</v>
      </c>
      <c r="C140" s="144">
        <v>16799007</v>
      </c>
      <c r="D140" s="145">
        <v>16720003</v>
      </c>
      <c r="E140" s="177">
        <f>SUM(F140:Q140)</f>
        <v>17057197.57</v>
      </c>
      <c r="F140" s="212">
        <v>1371114</v>
      </c>
      <c r="G140" s="230">
        <v>1314061</v>
      </c>
      <c r="H140" s="235">
        <v>1359123</v>
      </c>
      <c r="I140" s="235">
        <v>1437320</v>
      </c>
      <c r="J140" s="235">
        <v>1386160.42</v>
      </c>
      <c r="K140" s="235">
        <v>1431865</v>
      </c>
      <c r="L140" s="235">
        <v>1298646.6399999999</v>
      </c>
      <c r="M140" s="235">
        <v>1342413.52</v>
      </c>
      <c r="N140" s="235">
        <v>1663520</v>
      </c>
      <c r="O140" s="235">
        <v>1474240</v>
      </c>
      <c r="P140" s="255">
        <v>1499597</v>
      </c>
      <c r="Q140" s="268">
        <v>1479136.99</v>
      </c>
    </row>
    <row r="141" spans="1:18" x14ac:dyDescent="0.3">
      <c r="A141" s="5"/>
      <c r="B141" s="1143"/>
      <c r="C141" s="1144"/>
      <c r="D141" s="1144"/>
      <c r="E141" s="1144"/>
      <c r="F141" s="1144"/>
      <c r="G141" s="1144"/>
      <c r="H141" s="1144"/>
      <c r="I141" s="1144"/>
      <c r="J141" s="1144"/>
      <c r="K141" s="1144"/>
      <c r="L141" s="1144"/>
      <c r="M141" s="1144"/>
      <c r="N141" s="1144"/>
      <c r="O141" s="1144"/>
      <c r="P141" s="1144"/>
      <c r="Q141" s="1145"/>
    </row>
    <row r="142" spans="1:18" x14ac:dyDescent="0.3">
      <c r="A142" s="5"/>
      <c r="B142" s="1146" t="s">
        <v>108</v>
      </c>
      <c r="C142" s="1147"/>
      <c r="D142" s="1147"/>
      <c r="E142" s="1147"/>
      <c r="F142" s="1147"/>
      <c r="G142" s="1147"/>
      <c r="H142" s="1147"/>
      <c r="I142" s="1147"/>
      <c r="J142" s="1147"/>
      <c r="K142" s="1147"/>
      <c r="L142" s="1147"/>
      <c r="M142" s="1147"/>
      <c r="N142" s="1147"/>
      <c r="O142" s="1147"/>
      <c r="P142" s="1147"/>
      <c r="Q142" s="1148"/>
    </row>
    <row r="143" spans="1:18" s="2" customFormat="1" ht="24" customHeight="1" x14ac:dyDescent="0.25">
      <c r="A143" s="6"/>
      <c r="B143" s="149" t="s">
        <v>109</v>
      </c>
      <c r="C143" s="1149"/>
      <c r="D143" s="1150"/>
      <c r="E143" s="1152"/>
      <c r="F143" s="206">
        <v>105623</v>
      </c>
      <c r="G143" s="207">
        <v>105613</v>
      </c>
      <c r="H143" s="207">
        <v>95665</v>
      </c>
      <c r="I143" s="207">
        <v>98971</v>
      </c>
      <c r="J143" s="207">
        <v>94670</v>
      </c>
      <c r="K143" s="207">
        <v>95968</v>
      </c>
      <c r="L143" s="207">
        <v>92213</v>
      </c>
      <c r="M143" s="207">
        <v>92452</v>
      </c>
      <c r="N143" s="207">
        <v>92909</v>
      </c>
      <c r="O143" s="207">
        <v>93140</v>
      </c>
      <c r="P143" s="207">
        <v>93328</v>
      </c>
      <c r="Q143" s="208">
        <v>94388</v>
      </c>
    </row>
    <row r="144" spans="1:18" ht="37.5" x14ac:dyDescent="0.3">
      <c r="A144" s="8"/>
      <c r="B144" s="152" t="s">
        <v>119</v>
      </c>
      <c r="C144" s="1127"/>
      <c r="D144" s="1128"/>
      <c r="E144" s="1153"/>
      <c r="F144" s="209">
        <f>F143/R144</f>
        <v>0.39123397067865795</v>
      </c>
      <c r="G144" s="228">
        <f>G143/R144</f>
        <v>0.39119693007474793</v>
      </c>
      <c r="H144" s="228">
        <f>H143/R144</f>
        <v>0.35434893730507383</v>
      </c>
      <c r="I144" s="228">
        <f>I143/R144</f>
        <v>0.36659456095772186</v>
      </c>
      <c r="J144" s="228">
        <f>J143/R144</f>
        <v>0.35066339721602818</v>
      </c>
      <c r="K144" s="228">
        <f>K143/R144</f>
        <v>0.35547126760354703</v>
      </c>
      <c r="L144" s="228">
        <f>L143/R144</f>
        <v>0.34156252083533972</v>
      </c>
      <c r="M144" s="228">
        <f>M143/R144</f>
        <v>0.34244779126878883</v>
      </c>
      <c r="N144" s="228">
        <f>N143/R144</f>
        <v>0.34414054686747614</v>
      </c>
      <c r="O144" s="228">
        <f>O143/R144</f>
        <v>0.34499618481779726</v>
      </c>
      <c r="P144" s="228">
        <f>P143/R144</f>
        <v>0.3456925481713054</v>
      </c>
      <c r="Q144" s="228">
        <f>Q143/R144</f>
        <v>0.34961885218576605</v>
      </c>
      <c r="R144" s="1">
        <v>269974</v>
      </c>
    </row>
    <row r="151" spans="8:8" x14ac:dyDescent="0.3">
      <c r="H151" s="252"/>
    </row>
  </sheetData>
  <mergeCells count="49">
    <mergeCell ref="B131:Q131"/>
    <mergeCell ref="B139:Q139"/>
    <mergeCell ref="B141:Q141"/>
    <mergeCell ref="B142:Q142"/>
    <mergeCell ref="C143:D144"/>
    <mergeCell ref="E143:E144"/>
    <mergeCell ref="B124:Q124"/>
    <mergeCell ref="B99:Q99"/>
    <mergeCell ref="C100:D102"/>
    <mergeCell ref="E100:E102"/>
    <mergeCell ref="B103:Q103"/>
    <mergeCell ref="B104:Q104"/>
    <mergeCell ref="C105:D108"/>
    <mergeCell ref="B109:Q109"/>
    <mergeCell ref="C110:D110"/>
    <mergeCell ref="C111:D112"/>
    <mergeCell ref="B115:Q115"/>
    <mergeCell ref="B116:Q116"/>
    <mergeCell ref="B87:Q87"/>
    <mergeCell ref="B88:Q88"/>
    <mergeCell ref="C89:D94"/>
    <mergeCell ref="B95:Q95"/>
    <mergeCell ref="C96:D98"/>
    <mergeCell ref="E96:E98"/>
    <mergeCell ref="B77:Q77"/>
    <mergeCell ref="C39:D39"/>
    <mergeCell ref="C41:D42"/>
    <mergeCell ref="B44:Q44"/>
    <mergeCell ref="B51:Q51"/>
    <mergeCell ref="B52:Q52"/>
    <mergeCell ref="C54:D57"/>
    <mergeCell ref="B58:Q58"/>
    <mergeCell ref="C59:D61"/>
    <mergeCell ref="B62:Q62"/>
    <mergeCell ref="C63:D76"/>
    <mergeCell ref="F71:Q72"/>
    <mergeCell ref="B38:Q38"/>
    <mergeCell ref="C1:D1"/>
    <mergeCell ref="B3:Q3"/>
    <mergeCell ref="B4:Q4"/>
    <mergeCell ref="B5:Q5"/>
    <mergeCell ref="B13:Q13"/>
    <mergeCell ref="C14:D20"/>
    <mergeCell ref="E14:E20"/>
    <mergeCell ref="C21:D22"/>
    <mergeCell ref="C24:D29"/>
    <mergeCell ref="B30:Q30"/>
    <mergeCell ref="C34:D35"/>
    <mergeCell ref="E34:E35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45"/>
  <sheetViews>
    <sheetView showGridLines="0" topLeftCell="B1" zoomScale="70" zoomScaleNormal="70" workbookViewId="0">
      <pane ySplit="2" topLeftCell="A3" activePane="bottomLeft" state="frozen"/>
      <selection activeCell="A2" sqref="A2"/>
      <selection pane="bottomLeft" activeCell="Q22" sqref="Q22"/>
    </sheetView>
  </sheetViews>
  <sheetFormatPr defaultColWidth="8.85546875" defaultRowHeight="18.75" x14ac:dyDescent="0.3"/>
  <cols>
    <col min="1" max="1" width="9.140625" style="1" hidden="1" customWidth="1"/>
    <col min="2" max="2" width="62.85546875" style="1" customWidth="1"/>
    <col min="3" max="4" width="10.140625" style="10" bestFit="1" customWidth="1"/>
    <col min="5" max="5" width="13.5703125" style="9" customWidth="1"/>
    <col min="6" max="6" width="12.140625" style="10" bestFit="1" customWidth="1"/>
    <col min="7" max="14" width="11.140625" style="10" bestFit="1" customWidth="1"/>
    <col min="15" max="15" width="11.140625" style="10" customWidth="1"/>
    <col min="16" max="17" width="10.140625" style="10" customWidth="1"/>
    <col min="18" max="16384" width="8.85546875" style="1"/>
  </cols>
  <sheetData>
    <row r="1" spans="1:17" x14ac:dyDescent="0.3">
      <c r="A1" s="4"/>
      <c r="B1" s="11"/>
      <c r="C1" s="1096" t="s">
        <v>110</v>
      </c>
      <c r="D1" s="1097"/>
      <c r="E1" s="12" t="s">
        <v>123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x14ac:dyDescent="0.3">
      <c r="A2" s="5"/>
      <c r="B2" s="15"/>
      <c r="C2" s="16" t="s">
        <v>0</v>
      </c>
      <c r="D2" s="17" t="s">
        <v>1</v>
      </c>
      <c r="E2" s="18" t="s">
        <v>2</v>
      </c>
      <c r="F2" s="19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</row>
    <row r="3" spans="1:17" x14ac:dyDescent="0.3">
      <c r="A3" s="5"/>
      <c r="B3" s="1098" t="s">
        <v>72</v>
      </c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099"/>
      <c r="Q3" s="1100"/>
    </row>
    <row r="4" spans="1:17" x14ac:dyDescent="0.3">
      <c r="A4" s="5"/>
      <c r="B4" s="1101" t="s">
        <v>3</v>
      </c>
      <c r="C4" s="1102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  <c r="Q4" s="1103"/>
    </row>
    <row r="5" spans="1:17" x14ac:dyDescent="0.3">
      <c r="A5" s="5"/>
      <c r="B5" s="1093" t="s">
        <v>18</v>
      </c>
      <c r="C5" s="1094"/>
      <c r="D5" s="1094"/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5"/>
    </row>
    <row r="6" spans="1:17" ht="24" customHeight="1" x14ac:dyDescent="0.3">
      <c r="A6" s="5"/>
      <c r="B6" s="21" t="s">
        <v>4</v>
      </c>
      <c r="C6" s="22">
        <v>3438</v>
      </c>
      <c r="D6" s="23">
        <v>3421</v>
      </c>
      <c r="E6" s="159">
        <f>SUM(F6:Q6)</f>
        <v>3418</v>
      </c>
      <c r="F6" s="24">
        <v>312</v>
      </c>
      <c r="G6" s="25">
        <v>280</v>
      </c>
      <c r="H6" s="25">
        <v>247</v>
      </c>
      <c r="I6" s="25">
        <v>310</v>
      </c>
      <c r="J6" s="25">
        <v>265</v>
      </c>
      <c r="K6" s="25">
        <v>290</v>
      </c>
      <c r="L6" s="25">
        <v>264</v>
      </c>
      <c r="M6" s="25">
        <v>231</v>
      </c>
      <c r="N6" s="25">
        <v>308</v>
      </c>
      <c r="O6" s="25">
        <v>328</v>
      </c>
      <c r="P6" s="25">
        <v>306</v>
      </c>
      <c r="Q6" s="26">
        <v>277</v>
      </c>
    </row>
    <row r="7" spans="1:17" ht="24" customHeight="1" x14ac:dyDescent="0.3">
      <c r="A7" s="5"/>
      <c r="B7" s="27" t="s">
        <v>5</v>
      </c>
      <c r="C7" s="28">
        <v>1980</v>
      </c>
      <c r="D7" s="29">
        <v>1898</v>
      </c>
      <c r="E7" s="160">
        <f>SUM(F7:Q7)</f>
        <v>1872</v>
      </c>
      <c r="F7" s="30">
        <v>179</v>
      </c>
      <c r="G7" s="31">
        <v>152</v>
      </c>
      <c r="H7" s="31">
        <v>143</v>
      </c>
      <c r="I7" s="31">
        <v>179</v>
      </c>
      <c r="J7" s="31">
        <v>148</v>
      </c>
      <c r="K7" s="31">
        <v>155</v>
      </c>
      <c r="L7" s="31">
        <v>123</v>
      </c>
      <c r="M7" s="31">
        <v>131</v>
      </c>
      <c r="N7" s="31">
        <v>165</v>
      </c>
      <c r="O7" s="31">
        <v>191</v>
      </c>
      <c r="P7" s="31">
        <v>163</v>
      </c>
      <c r="Q7" s="32">
        <v>143</v>
      </c>
    </row>
    <row r="8" spans="1:17" ht="24" customHeight="1" x14ac:dyDescent="0.3">
      <c r="A8" s="5"/>
      <c r="B8" s="27" t="s">
        <v>143</v>
      </c>
      <c r="C8" s="33" t="s">
        <v>144</v>
      </c>
      <c r="D8" s="34" t="s">
        <v>144</v>
      </c>
      <c r="E8" s="160">
        <f>SUM(F8:Q8)</f>
        <v>2931</v>
      </c>
      <c r="F8" s="35" t="s">
        <v>136</v>
      </c>
      <c r="G8" s="36" t="s">
        <v>136</v>
      </c>
      <c r="H8" s="36" t="s">
        <v>136</v>
      </c>
      <c r="I8" s="36" t="s">
        <v>136</v>
      </c>
      <c r="J8" s="36" t="s">
        <v>136</v>
      </c>
      <c r="K8" s="36" t="s">
        <v>136</v>
      </c>
      <c r="L8" s="37">
        <v>484</v>
      </c>
      <c r="M8" s="37">
        <v>453</v>
      </c>
      <c r="N8" s="37">
        <v>529</v>
      </c>
      <c r="O8" s="37">
        <v>500</v>
      </c>
      <c r="P8" s="37">
        <v>516</v>
      </c>
      <c r="Q8" s="38">
        <f>162+2+170+28+53+34+0</f>
        <v>449</v>
      </c>
    </row>
    <row r="9" spans="1:17" x14ac:dyDescent="0.3">
      <c r="A9" s="5"/>
      <c r="B9" s="1093" t="s">
        <v>19</v>
      </c>
      <c r="C9" s="1094"/>
      <c r="D9" s="1094"/>
      <c r="E9" s="1094"/>
      <c r="F9" s="1094"/>
      <c r="G9" s="1094"/>
      <c r="H9" s="1094"/>
      <c r="I9" s="1094"/>
      <c r="J9" s="1094"/>
      <c r="K9" s="1094"/>
      <c r="L9" s="1094"/>
      <c r="M9" s="1094"/>
      <c r="N9" s="1094"/>
      <c r="O9" s="1094"/>
      <c r="P9" s="1094"/>
      <c r="Q9" s="1095"/>
    </row>
    <row r="10" spans="1:17" s="2" customFormat="1" ht="24" customHeight="1" x14ac:dyDescent="0.25">
      <c r="A10" s="6"/>
      <c r="B10" s="21" t="s">
        <v>145</v>
      </c>
      <c r="C10" s="39" t="s">
        <v>136</v>
      </c>
      <c r="D10" s="40">
        <v>349</v>
      </c>
      <c r="E10" s="161">
        <f>SUM(F10:Q10)</f>
        <v>374</v>
      </c>
      <c r="F10" s="24">
        <v>38</v>
      </c>
      <c r="G10" s="25">
        <v>53</v>
      </c>
      <c r="H10" s="25">
        <v>42</v>
      </c>
      <c r="I10" s="25">
        <v>41</v>
      </c>
      <c r="J10" s="25">
        <v>31</v>
      </c>
      <c r="K10" s="25">
        <v>22</v>
      </c>
      <c r="L10" s="25">
        <v>33</v>
      </c>
      <c r="M10" s="25">
        <v>22</v>
      </c>
      <c r="N10" s="25">
        <v>23</v>
      </c>
      <c r="O10" s="25">
        <v>20</v>
      </c>
      <c r="P10" s="25">
        <v>24</v>
      </c>
      <c r="Q10" s="26">
        <v>25</v>
      </c>
    </row>
    <row r="11" spans="1:17" s="2" customFormat="1" ht="34.35" customHeight="1" x14ac:dyDescent="0.25">
      <c r="A11" s="6"/>
      <c r="B11" s="183" t="s">
        <v>147</v>
      </c>
      <c r="C11" s="39" t="s">
        <v>136</v>
      </c>
      <c r="D11" s="42">
        <v>334</v>
      </c>
      <c r="E11" s="162">
        <f>SUM(F11:Q11)</f>
        <v>354</v>
      </c>
      <c r="F11" s="43">
        <v>33</v>
      </c>
      <c r="G11" s="44">
        <v>49</v>
      </c>
      <c r="H11" s="44">
        <v>40</v>
      </c>
      <c r="I11" s="44">
        <v>40</v>
      </c>
      <c r="J11" s="44">
        <v>29</v>
      </c>
      <c r="K11" s="44">
        <v>20</v>
      </c>
      <c r="L11" s="44">
        <v>32</v>
      </c>
      <c r="M11" s="44">
        <v>21</v>
      </c>
      <c r="N11" s="44">
        <v>23</v>
      </c>
      <c r="O11" s="44">
        <v>19</v>
      </c>
      <c r="P11" s="44">
        <v>24</v>
      </c>
      <c r="Q11" s="45">
        <v>24</v>
      </c>
    </row>
    <row r="12" spans="1:17" s="2" customFormat="1" ht="24" customHeight="1" x14ac:dyDescent="0.25">
      <c r="A12" s="6"/>
      <c r="B12" s="46" t="s">
        <v>146</v>
      </c>
      <c r="C12" s="39" t="s">
        <v>136</v>
      </c>
      <c r="D12" s="42">
        <v>1217</v>
      </c>
      <c r="E12" s="163">
        <f>SUM(F12:Q12)</f>
        <v>1466</v>
      </c>
      <c r="F12" s="43">
        <v>162</v>
      </c>
      <c r="G12" s="44">
        <v>170</v>
      </c>
      <c r="H12" s="44">
        <v>93</v>
      </c>
      <c r="I12" s="44">
        <v>136</v>
      </c>
      <c r="J12" s="44">
        <v>88</v>
      </c>
      <c r="K12" s="44">
        <v>131</v>
      </c>
      <c r="L12" s="44">
        <v>119</v>
      </c>
      <c r="M12" s="44">
        <v>92</v>
      </c>
      <c r="N12" s="44">
        <v>106</v>
      </c>
      <c r="O12" s="44">
        <v>114</v>
      </c>
      <c r="P12" s="44">
        <f>113+10</f>
        <v>123</v>
      </c>
      <c r="Q12" s="45">
        <v>132</v>
      </c>
    </row>
    <row r="13" spans="1:17" s="2" customFormat="1" ht="24" customHeight="1" x14ac:dyDescent="0.25">
      <c r="A13" s="6"/>
      <c r="B13" s="47" t="s">
        <v>148</v>
      </c>
      <c r="C13" s="39" t="s">
        <v>136</v>
      </c>
      <c r="D13" s="34">
        <v>1148</v>
      </c>
      <c r="E13" s="160">
        <f>SUM(F13:Q13)</f>
        <v>1387</v>
      </c>
      <c r="F13" s="30">
        <v>154</v>
      </c>
      <c r="G13" s="31">
        <v>160</v>
      </c>
      <c r="H13" s="31">
        <v>90</v>
      </c>
      <c r="I13" s="31">
        <v>130</v>
      </c>
      <c r="J13" s="31">
        <v>87</v>
      </c>
      <c r="K13" s="31">
        <v>125</v>
      </c>
      <c r="L13" s="31">
        <v>112</v>
      </c>
      <c r="M13" s="31">
        <v>85</v>
      </c>
      <c r="N13" s="31">
        <v>100</v>
      </c>
      <c r="O13" s="31">
        <v>106</v>
      </c>
      <c r="P13" s="31">
        <v>113</v>
      </c>
      <c r="Q13" s="32">
        <v>125</v>
      </c>
    </row>
    <row r="14" spans="1:17" x14ac:dyDescent="0.3">
      <c r="A14" s="5"/>
      <c r="B14" s="1093" t="s">
        <v>20</v>
      </c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4"/>
      <c r="N14" s="1094"/>
      <c r="O14" s="1094"/>
      <c r="P14" s="1094"/>
      <c r="Q14" s="1095"/>
    </row>
    <row r="15" spans="1:17" s="2" customFormat="1" ht="24" customHeight="1" x14ac:dyDescent="0.25">
      <c r="A15" s="6"/>
      <c r="B15" s="21" t="s">
        <v>21</v>
      </c>
      <c r="C15" s="1104"/>
      <c r="D15" s="1105"/>
      <c r="E15" s="1115"/>
      <c r="F15" s="24">
        <f>SUM(F16:F17)</f>
        <v>163</v>
      </c>
      <c r="G15" s="25">
        <f>SUM(G16:G17)</f>
        <v>150</v>
      </c>
      <c r="H15" s="25">
        <f t="shared" ref="H15:P15" si="0">SUM(H16:H17)</f>
        <v>150</v>
      </c>
      <c r="I15" s="25">
        <f t="shared" si="0"/>
        <v>157</v>
      </c>
      <c r="J15" s="25">
        <f t="shared" si="0"/>
        <v>152</v>
      </c>
      <c r="K15" s="25">
        <f t="shared" si="0"/>
        <v>152</v>
      </c>
      <c r="L15" s="25">
        <f t="shared" si="0"/>
        <v>148</v>
      </c>
      <c r="M15" s="25">
        <f t="shared" si="0"/>
        <v>147</v>
      </c>
      <c r="N15" s="25">
        <f t="shared" si="0"/>
        <v>139</v>
      </c>
      <c r="O15" s="25">
        <f t="shared" si="0"/>
        <v>151</v>
      </c>
      <c r="P15" s="25">
        <f t="shared" si="0"/>
        <v>157</v>
      </c>
      <c r="Q15" s="26">
        <f>SUM(Q16:Q17)</f>
        <v>163</v>
      </c>
    </row>
    <row r="16" spans="1:17" s="2" customFormat="1" ht="24" customHeight="1" x14ac:dyDescent="0.25">
      <c r="A16" s="6"/>
      <c r="B16" s="185" t="s">
        <v>22</v>
      </c>
      <c r="C16" s="1104"/>
      <c r="D16" s="1105"/>
      <c r="E16" s="1115"/>
      <c r="F16" s="43">
        <v>89</v>
      </c>
      <c r="G16" s="44">
        <v>78</v>
      </c>
      <c r="H16" s="44">
        <v>78</v>
      </c>
      <c r="I16" s="44">
        <v>82</v>
      </c>
      <c r="J16" s="44">
        <v>80</v>
      </c>
      <c r="K16" s="44">
        <v>82</v>
      </c>
      <c r="L16" s="44">
        <v>81</v>
      </c>
      <c r="M16" s="44">
        <v>82</v>
      </c>
      <c r="N16" s="44">
        <v>76</v>
      </c>
      <c r="O16" s="44">
        <v>80</v>
      </c>
      <c r="P16" s="44">
        <v>83</v>
      </c>
      <c r="Q16" s="45">
        <v>87</v>
      </c>
    </row>
    <row r="17" spans="1:17" s="2" customFormat="1" ht="24" customHeight="1" x14ac:dyDescent="0.25">
      <c r="A17" s="6"/>
      <c r="B17" s="185" t="s">
        <v>23</v>
      </c>
      <c r="C17" s="1104"/>
      <c r="D17" s="1105"/>
      <c r="E17" s="1115"/>
      <c r="F17" s="43">
        <v>74</v>
      </c>
      <c r="G17" s="44">
        <v>72</v>
      </c>
      <c r="H17" s="44">
        <v>72</v>
      </c>
      <c r="I17" s="44">
        <v>75</v>
      </c>
      <c r="J17" s="44">
        <v>72</v>
      </c>
      <c r="K17" s="44">
        <v>70</v>
      </c>
      <c r="L17" s="44">
        <v>67</v>
      </c>
      <c r="M17" s="44">
        <v>65</v>
      </c>
      <c r="N17" s="44">
        <v>63</v>
      </c>
      <c r="O17" s="44">
        <v>71</v>
      </c>
      <c r="P17" s="44">
        <v>74</v>
      </c>
      <c r="Q17" s="45">
        <v>76</v>
      </c>
    </row>
    <row r="18" spans="1:17" s="2" customFormat="1" ht="24" customHeight="1" x14ac:dyDescent="0.25">
      <c r="A18" s="6"/>
      <c r="B18" s="185" t="s">
        <v>25</v>
      </c>
      <c r="C18" s="1104"/>
      <c r="D18" s="1105"/>
      <c r="E18" s="1115"/>
      <c r="F18" s="43">
        <v>19</v>
      </c>
      <c r="G18" s="44">
        <v>22</v>
      </c>
      <c r="H18" s="44">
        <v>25</v>
      </c>
      <c r="I18" s="44">
        <v>38</v>
      </c>
      <c r="J18" s="44">
        <v>43</v>
      </c>
      <c r="K18" s="44">
        <v>51</v>
      </c>
      <c r="L18" s="44">
        <v>52</v>
      </c>
      <c r="M18" s="44">
        <v>55</v>
      </c>
      <c r="N18" s="44">
        <v>58</v>
      </c>
      <c r="O18" s="44">
        <v>72</v>
      </c>
      <c r="P18" s="44">
        <v>79</v>
      </c>
      <c r="Q18" s="45">
        <v>77</v>
      </c>
    </row>
    <row r="19" spans="1:17" s="2" customFormat="1" ht="24" customHeight="1" x14ac:dyDescent="0.25">
      <c r="A19" s="6"/>
      <c r="B19" s="185" t="s">
        <v>24</v>
      </c>
      <c r="C19" s="1104"/>
      <c r="D19" s="1105"/>
      <c r="E19" s="1115"/>
      <c r="F19" s="43">
        <v>55</v>
      </c>
      <c r="G19" s="44">
        <v>51</v>
      </c>
      <c r="H19" s="44">
        <v>49</v>
      </c>
      <c r="I19" s="44">
        <v>49</v>
      </c>
      <c r="J19" s="44">
        <v>47</v>
      </c>
      <c r="K19" s="44">
        <v>46</v>
      </c>
      <c r="L19" s="44">
        <v>43</v>
      </c>
      <c r="M19" s="44">
        <v>41</v>
      </c>
      <c r="N19" s="44">
        <v>38</v>
      </c>
      <c r="O19" s="44">
        <v>36</v>
      </c>
      <c r="P19" s="44">
        <v>39</v>
      </c>
      <c r="Q19" s="45">
        <v>46</v>
      </c>
    </row>
    <row r="20" spans="1:17" s="2" customFormat="1" ht="24" customHeight="1" x14ac:dyDescent="0.25">
      <c r="A20" s="6"/>
      <c r="B20" s="185" t="s">
        <v>26</v>
      </c>
      <c r="C20" s="1104"/>
      <c r="D20" s="1105"/>
      <c r="E20" s="1115"/>
      <c r="F20" s="43">
        <v>89</v>
      </c>
      <c r="G20" s="44">
        <v>77</v>
      </c>
      <c r="H20" s="44">
        <v>76</v>
      </c>
      <c r="I20" s="44">
        <v>70</v>
      </c>
      <c r="J20" s="44">
        <v>62</v>
      </c>
      <c r="K20" s="44">
        <v>55</v>
      </c>
      <c r="L20" s="44">
        <v>53</v>
      </c>
      <c r="M20" s="44">
        <v>51</v>
      </c>
      <c r="N20" s="44">
        <v>43</v>
      </c>
      <c r="O20" s="44">
        <v>43</v>
      </c>
      <c r="P20" s="44">
        <v>39</v>
      </c>
      <c r="Q20" s="45">
        <v>40</v>
      </c>
    </row>
    <row r="21" spans="1:17" s="2" customFormat="1" ht="37.5" x14ac:dyDescent="0.25">
      <c r="A21" s="6"/>
      <c r="B21" s="49" t="s">
        <v>121</v>
      </c>
      <c r="C21" s="1156"/>
      <c r="D21" s="1157"/>
      <c r="E21" s="1158"/>
      <c r="F21" s="43">
        <v>5</v>
      </c>
      <c r="G21" s="44">
        <v>5</v>
      </c>
      <c r="H21" s="44">
        <v>6</v>
      </c>
      <c r="I21" s="44">
        <v>10</v>
      </c>
      <c r="J21" s="44">
        <v>8</v>
      </c>
      <c r="K21" s="44">
        <v>5</v>
      </c>
      <c r="L21" s="44">
        <v>5</v>
      </c>
      <c r="M21" s="44">
        <v>5</v>
      </c>
      <c r="N21" s="44">
        <v>5</v>
      </c>
      <c r="O21" s="44">
        <v>5</v>
      </c>
      <c r="P21" s="44">
        <v>4</v>
      </c>
      <c r="Q21" s="45">
        <v>5</v>
      </c>
    </row>
    <row r="22" spans="1:17" s="2" customFormat="1" ht="24" customHeight="1" x14ac:dyDescent="0.25">
      <c r="A22" s="6"/>
      <c r="B22" s="46" t="s">
        <v>111</v>
      </c>
      <c r="C22" s="1159"/>
      <c r="D22" s="1160"/>
      <c r="E22" s="162">
        <f>SUM(F22:Q22)</f>
        <v>87</v>
      </c>
      <c r="F22" s="43">
        <v>1</v>
      </c>
      <c r="G22" s="44">
        <v>6</v>
      </c>
      <c r="H22" s="44">
        <v>1</v>
      </c>
      <c r="I22" s="44">
        <v>8</v>
      </c>
      <c r="J22" s="44">
        <v>17</v>
      </c>
      <c r="K22" s="44">
        <v>10</v>
      </c>
      <c r="L22" s="44">
        <v>1</v>
      </c>
      <c r="M22" s="44">
        <v>4</v>
      </c>
      <c r="N22" s="44">
        <v>4</v>
      </c>
      <c r="O22" s="44">
        <v>16</v>
      </c>
      <c r="P22" s="44">
        <v>12</v>
      </c>
      <c r="Q22" s="45">
        <v>7</v>
      </c>
    </row>
    <row r="23" spans="1:17" s="2" customFormat="1" ht="24" customHeight="1" x14ac:dyDescent="0.25">
      <c r="A23" s="6"/>
      <c r="B23" s="46" t="s">
        <v>138</v>
      </c>
      <c r="C23" s="1106"/>
      <c r="D23" s="1107"/>
      <c r="E23" s="164">
        <f>SUM(F23:Q23)</f>
        <v>86</v>
      </c>
      <c r="F23" s="30">
        <f>SUM(F25:F30)</f>
        <v>1</v>
      </c>
      <c r="G23" s="31">
        <f>SUM(G25:G30)</f>
        <v>16</v>
      </c>
      <c r="H23" s="31">
        <f t="shared" ref="H23:P23" si="1">SUM(H25:H30)</f>
        <v>3</v>
      </c>
      <c r="I23" s="31">
        <f t="shared" si="1"/>
        <v>9</v>
      </c>
      <c r="J23" s="31">
        <f t="shared" si="1"/>
        <v>11</v>
      </c>
      <c r="K23" s="31">
        <f t="shared" si="1"/>
        <v>8</v>
      </c>
      <c r="L23" s="31">
        <f t="shared" si="1"/>
        <v>8</v>
      </c>
      <c r="M23" s="31">
        <f t="shared" si="1"/>
        <v>5</v>
      </c>
      <c r="N23" s="31">
        <f t="shared" si="1"/>
        <v>11</v>
      </c>
      <c r="O23" s="31">
        <f t="shared" si="1"/>
        <v>6</v>
      </c>
      <c r="P23" s="31">
        <f t="shared" si="1"/>
        <v>5</v>
      </c>
      <c r="Q23" s="201">
        <f>SUM(Q25:Q30)</f>
        <v>3</v>
      </c>
    </row>
    <row r="24" spans="1:17" s="2" customFormat="1" ht="24" customHeight="1" x14ac:dyDescent="0.25">
      <c r="A24" s="6"/>
      <c r="B24" s="186" t="s">
        <v>112</v>
      </c>
      <c r="C24" s="56"/>
      <c r="D24" s="57"/>
      <c r="E24" s="58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60"/>
    </row>
    <row r="25" spans="1:17" s="2" customFormat="1" ht="24" customHeight="1" x14ac:dyDescent="0.25">
      <c r="A25" s="6"/>
      <c r="B25" s="186" t="s">
        <v>113</v>
      </c>
      <c r="C25" s="1106"/>
      <c r="D25" s="1107"/>
      <c r="E25" s="161">
        <f t="shared" ref="E25:E30" si="2">SUM(F25:Q25)</f>
        <v>22</v>
      </c>
      <c r="F25" s="24">
        <v>0</v>
      </c>
      <c r="G25" s="25">
        <v>5</v>
      </c>
      <c r="H25" s="25">
        <v>0</v>
      </c>
      <c r="I25" s="25">
        <v>0</v>
      </c>
      <c r="J25" s="25">
        <v>2</v>
      </c>
      <c r="K25" s="25">
        <v>1</v>
      </c>
      <c r="L25" s="25">
        <v>3</v>
      </c>
      <c r="M25" s="25">
        <v>1</v>
      </c>
      <c r="N25" s="25">
        <v>5</v>
      </c>
      <c r="O25" s="25">
        <v>3</v>
      </c>
      <c r="P25" s="25">
        <v>1</v>
      </c>
      <c r="Q25" s="201">
        <v>1</v>
      </c>
    </row>
    <row r="26" spans="1:17" s="2" customFormat="1" ht="24" customHeight="1" x14ac:dyDescent="0.25">
      <c r="A26" s="6"/>
      <c r="B26" s="186" t="s">
        <v>139</v>
      </c>
      <c r="C26" s="1106"/>
      <c r="D26" s="1107"/>
      <c r="E26" s="161">
        <f t="shared" si="2"/>
        <v>10</v>
      </c>
      <c r="F26" s="24">
        <v>0</v>
      </c>
      <c r="G26" s="25">
        <v>2</v>
      </c>
      <c r="H26" s="25">
        <v>0</v>
      </c>
      <c r="I26" s="25">
        <v>0</v>
      </c>
      <c r="J26" s="25">
        <v>5</v>
      </c>
      <c r="K26" s="25">
        <v>0</v>
      </c>
      <c r="L26" s="25">
        <v>0</v>
      </c>
      <c r="M26" s="25">
        <v>0</v>
      </c>
      <c r="N26" s="25">
        <v>0</v>
      </c>
      <c r="O26" s="25">
        <v>2</v>
      </c>
      <c r="P26" s="25">
        <v>1</v>
      </c>
      <c r="Q26" s="201">
        <v>0</v>
      </c>
    </row>
    <row r="27" spans="1:17" s="2" customFormat="1" ht="24" customHeight="1" x14ac:dyDescent="0.25">
      <c r="A27" s="6"/>
      <c r="B27" s="186" t="s">
        <v>114</v>
      </c>
      <c r="C27" s="1106"/>
      <c r="D27" s="1107"/>
      <c r="E27" s="161">
        <f t="shared" si="2"/>
        <v>2</v>
      </c>
      <c r="F27" s="43">
        <v>0</v>
      </c>
      <c r="G27" s="44">
        <v>0</v>
      </c>
      <c r="H27" s="44">
        <v>1</v>
      </c>
      <c r="I27" s="44">
        <v>0</v>
      </c>
      <c r="J27" s="44">
        <v>0</v>
      </c>
      <c r="K27" s="44">
        <v>1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201">
        <v>0</v>
      </c>
    </row>
    <row r="28" spans="1:17" s="2" customFormat="1" ht="24" customHeight="1" x14ac:dyDescent="0.25">
      <c r="A28" s="6"/>
      <c r="B28" s="186" t="s">
        <v>115</v>
      </c>
      <c r="C28" s="1106"/>
      <c r="D28" s="1107"/>
      <c r="E28" s="161">
        <f t="shared" si="2"/>
        <v>40</v>
      </c>
      <c r="F28" s="43">
        <v>1</v>
      </c>
      <c r="G28" s="44">
        <v>9</v>
      </c>
      <c r="H28" s="44">
        <v>0</v>
      </c>
      <c r="I28" s="44">
        <v>8</v>
      </c>
      <c r="J28" s="44">
        <v>4</v>
      </c>
      <c r="K28" s="44">
        <v>4</v>
      </c>
      <c r="L28" s="44">
        <v>3</v>
      </c>
      <c r="M28" s="44">
        <v>3</v>
      </c>
      <c r="N28" s="44">
        <v>5</v>
      </c>
      <c r="O28" s="44">
        <v>0</v>
      </c>
      <c r="P28" s="44">
        <v>3</v>
      </c>
      <c r="Q28" s="201">
        <v>0</v>
      </c>
    </row>
    <row r="29" spans="1:17" s="2" customFormat="1" ht="24" customHeight="1" x14ac:dyDescent="0.25">
      <c r="A29" s="6"/>
      <c r="B29" s="186" t="s">
        <v>117</v>
      </c>
      <c r="C29" s="1106"/>
      <c r="D29" s="1107"/>
      <c r="E29" s="161">
        <f t="shared" si="2"/>
        <v>12</v>
      </c>
      <c r="F29" s="43">
        <v>0</v>
      </c>
      <c r="G29" s="44">
        <v>0</v>
      </c>
      <c r="H29" s="44">
        <v>2</v>
      </c>
      <c r="I29" s="44">
        <v>1</v>
      </c>
      <c r="J29" s="44">
        <v>0</v>
      </c>
      <c r="K29" s="44">
        <v>2</v>
      </c>
      <c r="L29" s="44">
        <v>2</v>
      </c>
      <c r="M29" s="44">
        <v>1</v>
      </c>
      <c r="N29" s="44">
        <v>1</v>
      </c>
      <c r="O29" s="44">
        <v>1</v>
      </c>
      <c r="P29" s="44">
        <v>0</v>
      </c>
      <c r="Q29" s="201">
        <v>2</v>
      </c>
    </row>
    <row r="30" spans="1:17" s="2" customFormat="1" ht="24" customHeight="1" x14ac:dyDescent="0.25">
      <c r="A30" s="6"/>
      <c r="B30" s="187" t="s">
        <v>116</v>
      </c>
      <c r="C30" s="1174"/>
      <c r="D30" s="1175"/>
      <c r="E30" s="165">
        <f t="shared" si="2"/>
        <v>0</v>
      </c>
      <c r="F30" s="66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201">
        <v>0</v>
      </c>
    </row>
    <row r="31" spans="1:17" x14ac:dyDescent="0.3">
      <c r="A31" s="5"/>
      <c r="B31" s="1116" t="s">
        <v>120</v>
      </c>
      <c r="C31" s="1117"/>
      <c r="D31" s="1117"/>
      <c r="E31" s="1117"/>
      <c r="F31" s="1117"/>
      <c r="G31" s="1117"/>
      <c r="H31" s="1117"/>
      <c r="I31" s="1117"/>
      <c r="J31" s="1117"/>
      <c r="K31" s="1117"/>
      <c r="L31" s="1117"/>
      <c r="M31" s="1117"/>
      <c r="N31" s="1117"/>
      <c r="O31" s="1117"/>
      <c r="P31" s="1117"/>
      <c r="Q31" s="1118"/>
    </row>
    <row r="32" spans="1:17" s="2" customFormat="1" ht="24" customHeight="1" x14ac:dyDescent="0.25">
      <c r="A32" s="6"/>
      <c r="B32" s="21" t="s">
        <v>27</v>
      </c>
      <c r="C32" s="61">
        <v>5</v>
      </c>
      <c r="D32" s="62">
        <v>6</v>
      </c>
      <c r="E32" s="161">
        <f>SUM(F32:Q32)</f>
        <v>7</v>
      </c>
      <c r="F32" s="24">
        <v>0</v>
      </c>
      <c r="G32" s="25">
        <v>1</v>
      </c>
      <c r="H32" s="25">
        <v>0</v>
      </c>
      <c r="I32" s="25">
        <v>2</v>
      </c>
      <c r="J32" s="25">
        <v>0</v>
      </c>
      <c r="K32" s="25">
        <v>0</v>
      </c>
      <c r="L32" s="25">
        <v>1</v>
      </c>
      <c r="M32" s="25">
        <v>0</v>
      </c>
      <c r="N32" s="25">
        <v>2</v>
      </c>
      <c r="O32" s="25">
        <v>0</v>
      </c>
      <c r="P32" s="25">
        <v>1</v>
      </c>
      <c r="Q32" s="201">
        <v>0</v>
      </c>
    </row>
    <row r="33" spans="1:17" s="2" customFormat="1" ht="24" customHeight="1" x14ac:dyDescent="0.25">
      <c r="A33" s="6"/>
      <c r="B33" s="46" t="s">
        <v>28</v>
      </c>
      <c r="C33" s="51">
        <v>20</v>
      </c>
      <c r="D33" s="52">
        <v>14</v>
      </c>
      <c r="E33" s="162">
        <f>SUM(F33:Q33)</f>
        <v>33</v>
      </c>
      <c r="F33" s="43">
        <v>1</v>
      </c>
      <c r="G33" s="44">
        <v>8</v>
      </c>
      <c r="H33" s="44">
        <v>0</v>
      </c>
      <c r="I33" s="44">
        <v>6</v>
      </c>
      <c r="J33" s="44">
        <v>4</v>
      </c>
      <c r="K33" s="44">
        <v>4</v>
      </c>
      <c r="L33" s="44">
        <v>2</v>
      </c>
      <c r="M33" s="44">
        <v>3</v>
      </c>
      <c r="N33" s="44">
        <v>3</v>
      </c>
      <c r="O33" s="44">
        <v>0</v>
      </c>
      <c r="P33" s="44">
        <v>2</v>
      </c>
      <c r="Q33" s="202">
        <v>0</v>
      </c>
    </row>
    <row r="34" spans="1:17" s="2" customFormat="1" ht="24" customHeight="1" x14ac:dyDescent="0.25">
      <c r="A34" s="6"/>
      <c r="B34" s="46" t="s">
        <v>34</v>
      </c>
      <c r="C34" s="53">
        <v>31</v>
      </c>
      <c r="D34" s="54">
        <v>29</v>
      </c>
      <c r="E34" s="164">
        <f>SUM(F34:Q34)</f>
        <v>24</v>
      </c>
      <c r="F34" s="43">
        <v>4</v>
      </c>
      <c r="G34" s="44">
        <v>2</v>
      </c>
      <c r="H34" s="44">
        <v>4</v>
      </c>
      <c r="I34" s="44">
        <v>0</v>
      </c>
      <c r="J34" s="44">
        <v>0</v>
      </c>
      <c r="K34" s="44">
        <v>4</v>
      </c>
      <c r="L34" s="44">
        <v>4</v>
      </c>
      <c r="M34" s="44">
        <v>1</v>
      </c>
      <c r="N34" s="44">
        <v>5</v>
      </c>
      <c r="O34" s="44">
        <v>0</v>
      </c>
      <c r="P34" s="44">
        <v>0</v>
      </c>
      <c r="Q34" s="202">
        <v>0</v>
      </c>
    </row>
    <row r="35" spans="1:17" s="2" customFormat="1" ht="24" customHeight="1" x14ac:dyDescent="0.25">
      <c r="A35" s="6"/>
      <c r="B35" s="46" t="s">
        <v>29</v>
      </c>
      <c r="C35" s="1104"/>
      <c r="D35" s="1105"/>
      <c r="E35" s="1115"/>
      <c r="F35" s="43">
        <v>45</v>
      </c>
      <c r="G35" s="44">
        <v>37</v>
      </c>
      <c r="H35" s="44">
        <v>38</v>
      </c>
      <c r="I35" s="44">
        <v>30</v>
      </c>
      <c r="J35" s="44">
        <v>28</v>
      </c>
      <c r="K35" s="44">
        <v>23</v>
      </c>
      <c r="L35" s="44">
        <v>27</v>
      </c>
      <c r="M35" s="44">
        <v>25</v>
      </c>
      <c r="N35" s="44">
        <v>23</v>
      </c>
      <c r="O35" s="44">
        <v>23</v>
      </c>
      <c r="P35" s="44">
        <v>21</v>
      </c>
      <c r="Q35" s="202">
        <v>21</v>
      </c>
    </row>
    <row r="36" spans="1:17" s="2" customFormat="1" ht="24" customHeight="1" x14ac:dyDescent="0.25">
      <c r="A36" s="6"/>
      <c r="B36" s="46" t="s">
        <v>30</v>
      </c>
      <c r="C36" s="1104"/>
      <c r="D36" s="1105"/>
      <c r="E36" s="1115"/>
      <c r="F36" s="36" t="s">
        <v>136</v>
      </c>
      <c r="G36" s="36" t="s">
        <v>136</v>
      </c>
      <c r="H36" s="36" t="s">
        <v>136</v>
      </c>
      <c r="I36" s="36" t="s">
        <v>136</v>
      </c>
      <c r="J36" s="36" t="s">
        <v>136</v>
      </c>
      <c r="K36" s="36" t="s">
        <v>136</v>
      </c>
      <c r="L36" s="36" t="s">
        <v>136</v>
      </c>
      <c r="M36" s="36" t="s">
        <v>136</v>
      </c>
      <c r="N36" s="36" t="s">
        <v>136</v>
      </c>
      <c r="O36" s="36" t="s">
        <v>136</v>
      </c>
      <c r="P36" s="44">
        <v>7</v>
      </c>
      <c r="Q36" s="202">
        <v>12.5</v>
      </c>
    </row>
    <row r="37" spans="1:17" s="2" customFormat="1" ht="24" customHeight="1" x14ac:dyDescent="0.25">
      <c r="A37" s="6"/>
      <c r="B37" s="46" t="s">
        <v>36</v>
      </c>
      <c r="C37" s="61">
        <v>36</v>
      </c>
      <c r="D37" s="62">
        <v>46</v>
      </c>
      <c r="E37" s="161">
        <f>SUM(F37:Q37)</f>
        <v>52</v>
      </c>
      <c r="F37" s="43">
        <v>4</v>
      </c>
      <c r="G37" s="44">
        <v>4</v>
      </c>
      <c r="H37" s="44">
        <v>6</v>
      </c>
      <c r="I37" s="44">
        <v>2</v>
      </c>
      <c r="J37" s="44">
        <v>2</v>
      </c>
      <c r="K37" s="44">
        <v>2</v>
      </c>
      <c r="L37" s="44">
        <v>3</v>
      </c>
      <c r="M37" s="44">
        <v>2</v>
      </c>
      <c r="N37" s="44">
        <v>7</v>
      </c>
      <c r="O37" s="44">
        <v>7</v>
      </c>
      <c r="P37" s="44">
        <v>7</v>
      </c>
      <c r="Q37" s="45">
        <v>6</v>
      </c>
    </row>
    <row r="38" spans="1:17" s="2" customFormat="1" ht="24" customHeight="1" x14ac:dyDescent="0.25">
      <c r="A38" s="6"/>
      <c r="B38" s="27" t="s">
        <v>35</v>
      </c>
      <c r="C38" s="53">
        <v>193</v>
      </c>
      <c r="D38" s="54">
        <v>401</v>
      </c>
      <c r="E38" s="164">
        <f>SUM(F38:Q38)</f>
        <v>269</v>
      </c>
      <c r="F38" s="30">
        <v>24</v>
      </c>
      <c r="G38" s="31">
        <v>24</v>
      </c>
      <c r="H38" s="31">
        <v>23</v>
      </c>
      <c r="I38" s="31">
        <v>37</v>
      </c>
      <c r="J38" s="31">
        <v>34</v>
      </c>
      <c r="K38" s="31">
        <v>19</v>
      </c>
      <c r="L38" s="31">
        <v>17</v>
      </c>
      <c r="M38" s="31">
        <v>17</v>
      </c>
      <c r="N38" s="31">
        <v>16</v>
      </c>
      <c r="O38" s="31">
        <v>19</v>
      </c>
      <c r="P38" s="31">
        <v>18</v>
      </c>
      <c r="Q38" s="32">
        <v>21</v>
      </c>
    </row>
    <row r="39" spans="1:17" x14ac:dyDescent="0.3">
      <c r="A39" s="5"/>
      <c r="B39" s="1093" t="s">
        <v>31</v>
      </c>
      <c r="C39" s="1094"/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5"/>
    </row>
    <row r="40" spans="1:17" s="2" customFormat="1" ht="24" customHeight="1" x14ac:dyDescent="0.25">
      <c r="A40" s="6"/>
      <c r="B40" s="21" t="s">
        <v>38</v>
      </c>
      <c r="C40" s="1127"/>
      <c r="D40" s="1128"/>
      <c r="E40" s="166">
        <v>52</v>
      </c>
      <c r="F40" s="24">
        <v>66</v>
      </c>
      <c r="G40" s="25">
        <f>F40+SUM(G41:G42)</f>
        <v>66</v>
      </c>
      <c r="H40" s="25">
        <f t="shared" ref="H40:Q40" si="3">G40+SUM(H41:H42)</f>
        <v>63</v>
      </c>
      <c r="I40" s="25">
        <f t="shared" si="3"/>
        <v>62</v>
      </c>
      <c r="J40" s="25">
        <f t="shared" si="3"/>
        <v>62</v>
      </c>
      <c r="K40" s="25">
        <f t="shared" si="3"/>
        <v>60</v>
      </c>
      <c r="L40" s="25">
        <f t="shared" si="3"/>
        <v>59</v>
      </c>
      <c r="M40" s="25">
        <f t="shared" si="3"/>
        <v>58</v>
      </c>
      <c r="N40" s="25">
        <f t="shared" si="3"/>
        <v>54</v>
      </c>
      <c r="O40" s="25">
        <f t="shared" si="3"/>
        <v>55</v>
      </c>
      <c r="P40" s="25">
        <f t="shared" si="3"/>
        <v>52</v>
      </c>
      <c r="Q40" s="26">
        <f t="shared" si="3"/>
        <v>50</v>
      </c>
    </row>
    <row r="41" spans="1:17" s="2" customFormat="1" ht="24" customHeight="1" x14ac:dyDescent="0.25">
      <c r="A41" s="6"/>
      <c r="B41" s="185" t="s">
        <v>140</v>
      </c>
      <c r="C41" s="61">
        <v>9</v>
      </c>
      <c r="D41" s="62">
        <v>8</v>
      </c>
      <c r="E41" s="69"/>
      <c r="F41" s="43">
        <v>0</v>
      </c>
      <c r="G41" s="44">
        <v>0</v>
      </c>
      <c r="H41" s="44">
        <v>0</v>
      </c>
      <c r="I41" s="44">
        <v>1</v>
      </c>
      <c r="J41" s="44">
        <v>1</v>
      </c>
      <c r="K41" s="44">
        <v>0</v>
      </c>
      <c r="L41" s="44">
        <v>0</v>
      </c>
      <c r="M41" s="44">
        <v>0</v>
      </c>
      <c r="N41" s="44">
        <v>0</v>
      </c>
      <c r="O41" s="44">
        <v>1</v>
      </c>
      <c r="P41" s="44">
        <v>0</v>
      </c>
      <c r="Q41" s="45">
        <v>0</v>
      </c>
    </row>
    <row r="42" spans="1:17" s="2" customFormat="1" ht="24" customHeight="1" x14ac:dyDescent="0.25">
      <c r="A42" s="6"/>
      <c r="B42" s="185" t="s">
        <v>141</v>
      </c>
      <c r="C42" s="1154"/>
      <c r="D42" s="1155"/>
      <c r="E42" s="69"/>
      <c r="F42" s="43">
        <v>-2</v>
      </c>
      <c r="G42" s="44">
        <v>0</v>
      </c>
      <c r="H42" s="44">
        <v>-3</v>
      </c>
      <c r="I42" s="44">
        <v>-2</v>
      </c>
      <c r="J42" s="44">
        <v>-1</v>
      </c>
      <c r="K42" s="44">
        <v>-2</v>
      </c>
      <c r="L42" s="44">
        <v>-1</v>
      </c>
      <c r="M42" s="44">
        <v>-1</v>
      </c>
      <c r="N42" s="44">
        <v>-4</v>
      </c>
      <c r="O42" s="44">
        <v>0</v>
      </c>
      <c r="P42" s="44">
        <v>-3</v>
      </c>
      <c r="Q42" s="45">
        <v>-2</v>
      </c>
    </row>
    <row r="43" spans="1:17" s="2" customFormat="1" ht="24" customHeight="1" x14ac:dyDescent="0.25">
      <c r="A43" s="6"/>
      <c r="B43" s="70" t="s">
        <v>149</v>
      </c>
      <c r="C43" s="1161"/>
      <c r="D43" s="1162"/>
      <c r="E43" s="154" t="s">
        <v>136</v>
      </c>
      <c r="F43" s="36" t="s">
        <v>136</v>
      </c>
      <c r="G43" s="36" t="s">
        <v>136</v>
      </c>
      <c r="H43" s="36" t="s">
        <v>136</v>
      </c>
      <c r="I43" s="36" t="s">
        <v>136</v>
      </c>
      <c r="J43" s="36" t="s">
        <v>136</v>
      </c>
      <c r="K43" s="36" t="s">
        <v>136</v>
      </c>
      <c r="L43" s="36" t="s">
        <v>136</v>
      </c>
      <c r="M43" s="36" t="s">
        <v>136</v>
      </c>
      <c r="N43" s="36" t="s">
        <v>136</v>
      </c>
      <c r="O43" s="36" t="s">
        <v>136</v>
      </c>
      <c r="P43" s="36" t="s">
        <v>136</v>
      </c>
      <c r="Q43" s="201" t="s">
        <v>136</v>
      </c>
    </row>
    <row r="44" spans="1:17" s="2" customFormat="1" ht="24" customHeight="1" x14ac:dyDescent="0.25">
      <c r="A44" s="6"/>
      <c r="B44" s="71" t="s">
        <v>37</v>
      </c>
      <c r="C44" s="53">
        <v>76</v>
      </c>
      <c r="D44" s="54">
        <v>42</v>
      </c>
      <c r="E44" s="164">
        <f>SUM(F44:Q44)</f>
        <v>34</v>
      </c>
      <c r="F44" s="30">
        <v>0</v>
      </c>
      <c r="G44" s="31">
        <v>0</v>
      </c>
      <c r="H44" s="31">
        <v>0</v>
      </c>
      <c r="I44" s="31">
        <v>1</v>
      </c>
      <c r="J44" s="31">
        <v>10</v>
      </c>
      <c r="K44" s="31">
        <v>0</v>
      </c>
      <c r="L44" s="31">
        <v>0</v>
      </c>
      <c r="M44" s="31">
        <v>9</v>
      </c>
      <c r="N44" s="31">
        <v>1</v>
      </c>
      <c r="O44" s="31">
        <v>9</v>
      </c>
      <c r="P44" s="31">
        <v>4</v>
      </c>
      <c r="Q44" s="32">
        <v>0</v>
      </c>
    </row>
    <row r="45" spans="1:17" x14ac:dyDescent="0.3">
      <c r="A45" s="5"/>
      <c r="B45" s="1116" t="s">
        <v>39</v>
      </c>
      <c r="C45" s="1117"/>
      <c r="D45" s="1117"/>
      <c r="E45" s="1117"/>
      <c r="F45" s="1117"/>
      <c r="G45" s="1117"/>
      <c r="H45" s="1117"/>
      <c r="I45" s="1117"/>
      <c r="J45" s="1117"/>
      <c r="K45" s="1117"/>
      <c r="L45" s="1117"/>
      <c r="M45" s="1117"/>
      <c r="N45" s="1117"/>
      <c r="O45" s="1117"/>
      <c r="P45" s="1117"/>
      <c r="Q45" s="1118"/>
    </row>
    <row r="46" spans="1:17" s="2" customFormat="1" ht="24" customHeight="1" x14ac:dyDescent="0.25">
      <c r="A46" s="6"/>
      <c r="B46" s="72" t="s">
        <v>67</v>
      </c>
      <c r="C46" s="73">
        <v>232</v>
      </c>
      <c r="D46" s="40">
        <v>171</v>
      </c>
      <c r="E46" s="159">
        <f t="shared" ref="E46:E51" si="4">SUM(F46:Q46)</f>
        <v>202</v>
      </c>
      <c r="F46" s="74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19</v>
      </c>
      <c r="P46" s="75">
        <v>92</v>
      </c>
      <c r="Q46" s="76">
        <v>91</v>
      </c>
    </row>
    <row r="47" spans="1:17" s="2" customFormat="1" ht="24" customHeight="1" x14ac:dyDescent="0.25">
      <c r="A47" s="6"/>
      <c r="B47" s="185" t="s">
        <v>68</v>
      </c>
      <c r="C47" s="77">
        <v>219</v>
      </c>
      <c r="D47" s="42">
        <v>167</v>
      </c>
      <c r="E47" s="163">
        <f t="shared" si="4"/>
        <v>176</v>
      </c>
      <c r="F47" s="78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12</v>
      </c>
      <c r="P47" s="79">
        <v>89</v>
      </c>
      <c r="Q47" s="80">
        <v>75</v>
      </c>
    </row>
    <row r="48" spans="1:17" s="2" customFormat="1" ht="24" customHeight="1" x14ac:dyDescent="0.25">
      <c r="A48" s="6"/>
      <c r="B48" s="70" t="s">
        <v>42</v>
      </c>
      <c r="C48" s="77">
        <v>976</v>
      </c>
      <c r="D48" s="42">
        <v>812</v>
      </c>
      <c r="E48" s="163">
        <f t="shared" si="4"/>
        <v>701</v>
      </c>
      <c r="F48" s="78">
        <v>0</v>
      </c>
      <c r="G48" s="79">
        <v>0</v>
      </c>
      <c r="H48" s="79">
        <v>0</v>
      </c>
      <c r="I48" s="79">
        <f>312+16</f>
        <v>328</v>
      </c>
      <c r="J48" s="79">
        <f>336+37</f>
        <v>373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80">
        <v>0</v>
      </c>
    </row>
    <row r="49" spans="1:17" s="2" customFormat="1" ht="24" customHeight="1" x14ac:dyDescent="0.25">
      <c r="A49" s="6"/>
      <c r="B49" s="185" t="s">
        <v>69</v>
      </c>
      <c r="C49" s="77">
        <v>894</v>
      </c>
      <c r="D49" s="42">
        <v>672</v>
      </c>
      <c r="E49" s="163">
        <f t="shared" si="4"/>
        <v>648</v>
      </c>
      <c r="F49" s="78">
        <v>0</v>
      </c>
      <c r="G49" s="79">
        <v>0</v>
      </c>
      <c r="H49" s="79">
        <v>0</v>
      </c>
      <c r="I49" s="79">
        <v>312</v>
      </c>
      <c r="J49" s="79">
        <v>336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80">
        <v>0</v>
      </c>
    </row>
    <row r="50" spans="1:17" s="2" customFormat="1" ht="24" customHeight="1" x14ac:dyDescent="0.25">
      <c r="A50" s="6"/>
      <c r="B50" s="70" t="s">
        <v>41</v>
      </c>
      <c r="C50" s="77">
        <v>1267</v>
      </c>
      <c r="D50" s="42">
        <v>1158</v>
      </c>
      <c r="E50" s="163">
        <f t="shared" si="4"/>
        <v>1228</v>
      </c>
      <c r="F50" s="78">
        <v>0</v>
      </c>
      <c r="G50" s="79">
        <v>0</v>
      </c>
      <c r="H50" s="79">
        <v>0</v>
      </c>
      <c r="I50" s="79">
        <f>395+19</f>
        <v>414</v>
      </c>
      <c r="J50" s="79">
        <f>674+98</f>
        <v>772</v>
      </c>
      <c r="K50" s="79">
        <f>39+3</f>
        <v>42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80">
        <v>0</v>
      </c>
    </row>
    <row r="51" spans="1:17" s="2" customFormat="1" ht="24" customHeight="1" x14ac:dyDescent="0.25">
      <c r="A51" s="6"/>
      <c r="B51" s="188" t="s">
        <v>40</v>
      </c>
      <c r="C51" s="33">
        <v>1198</v>
      </c>
      <c r="D51" s="34">
        <v>1106</v>
      </c>
      <c r="E51" s="160">
        <f t="shared" si="4"/>
        <v>1108</v>
      </c>
      <c r="F51" s="81">
        <v>0</v>
      </c>
      <c r="G51" s="37">
        <v>0</v>
      </c>
      <c r="H51" s="37">
        <v>0</v>
      </c>
      <c r="I51" s="37">
        <v>395</v>
      </c>
      <c r="J51" s="37">
        <v>674</v>
      </c>
      <c r="K51" s="37">
        <v>39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8">
        <v>0</v>
      </c>
    </row>
    <row r="52" spans="1:17" x14ac:dyDescent="0.3">
      <c r="A52" s="5"/>
      <c r="B52" s="1124" t="s">
        <v>43</v>
      </c>
      <c r="C52" s="1125"/>
      <c r="D52" s="1125"/>
      <c r="E52" s="1125"/>
      <c r="F52" s="1125"/>
      <c r="G52" s="1125"/>
      <c r="H52" s="1125"/>
      <c r="I52" s="1125"/>
      <c r="J52" s="1125"/>
      <c r="K52" s="1125"/>
      <c r="L52" s="1125"/>
      <c r="M52" s="1125"/>
      <c r="N52" s="1125"/>
      <c r="O52" s="1125"/>
      <c r="P52" s="1125"/>
      <c r="Q52" s="1126"/>
    </row>
    <row r="53" spans="1:17" x14ac:dyDescent="0.3">
      <c r="A53" s="5"/>
      <c r="B53" s="1116" t="s">
        <v>44</v>
      </c>
      <c r="C53" s="1117"/>
      <c r="D53" s="1117"/>
      <c r="E53" s="1117"/>
      <c r="F53" s="1117"/>
      <c r="G53" s="1117"/>
      <c r="H53" s="1117"/>
      <c r="I53" s="1117"/>
      <c r="J53" s="1117"/>
      <c r="K53" s="1117"/>
      <c r="L53" s="1117"/>
      <c r="M53" s="1117"/>
      <c r="N53" s="1117"/>
      <c r="O53" s="1117"/>
      <c r="P53" s="1117"/>
      <c r="Q53" s="1118"/>
    </row>
    <row r="54" spans="1:17" s="2" customFormat="1" ht="24" customHeight="1" x14ac:dyDescent="0.25">
      <c r="A54" s="6"/>
      <c r="B54" s="72" t="s">
        <v>45</v>
      </c>
      <c r="C54" s="61">
        <v>286</v>
      </c>
      <c r="D54" s="62">
        <v>235</v>
      </c>
      <c r="E54" s="161">
        <f>SUM(F54:Q54)</f>
        <v>253</v>
      </c>
      <c r="F54" s="24">
        <v>21</v>
      </c>
      <c r="G54" s="25">
        <v>30</v>
      </c>
      <c r="H54" s="25">
        <v>24</v>
      </c>
      <c r="I54" s="25">
        <v>20</v>
      </c>
      <c r="J54" s="25">
        <v>18</v>
      </c>
      <c r="K54" s="25">
        <v>20</v>
      </c>
      <c r="L54" s="25">
        <v>16</v>
      </c>
      <c r="M54" s="25">
        <v>20</v>
      </c>
      <c r="N54" s="25">
        <v>21</v>
      </c>
      <c r="O54" s="25">
        <v>19</v>
      </c>
      <c r="P54" s="25">
        <v>20</v>
      </c>
      <c r="Q54" s="26">
        <v>24</v>
      </c>
    </row>
    <row r="55" spans="1:17" s="2" customFormat="1" ht="24" customHeight="1" x14ac:dyDescent="0.25">
      <c r="A55" s="6"/>
      <c r="B55" s="70" t="s">
        <v>49</v>
      </c>
      <c r="C55" s="1154"/>
      <c r="D55" s="1155"/>
      <c r="E55" s="162">
        <f>SUM(F55:Q55)</f>
        <v>31</v>
      </c>
      <c r="F55" s="43">
        <v>1</v>
      </c>
      <c r="G55" s="44">
        <v>3</v>
      </c>
      <c r="H55" s="44">
        <v>0</v>
      </c>
      <c r="I55" s="44">
        <v>1</v>
      </c>
      <c r="J55" s="44">
        <v>1</v>
      </c>
      <c r="K55" s="44">
        <v>2</v>
      </c>
      <c r="L55" s="44">
        <v>6</v>
      </c>
      <c r="M55" s="44">
        <v>6</v>
      </c>
      <c r="N55" s="44">
        <v>2</v>
      </c>
      <c r="O55" s="44">
        <v>2</v>
      </c>
      <c r="P55" s="44">
        <v>1</v>
      </c>
      <c r="Q55" s="45">
        <v>6</v>
      </c>
    </row>
    <row r="56" spans="1:17" s="2" customFormat="1" ht="24" customHeight="1" x14ac:dyDescent="0.25">
      <c r="A56" s="6"/>
      <c r="B56" s="70" t="s">
        <v>46</v>
      </c>
      <c r="C56" s="1119"/>
      <c r="D56" s="1120"/>
      <c r="E56" s="164">
        <v>51</v>
      </c>
      <c r="F56" s="36" t="s">
        <v>136</v>
      </c>
      <c r="G56" s="36" t="s">
        <v>136</v>
      </c>
      <c r="H56" s="36" t="s">
        <v>136</v>
      </c>
      <c r="I56" s="36" t="s">
        <v>136</v>
      </c>
      <c r="J56" s="36" t="s">
        <v>136</v>
      </c>
      <c r="K56" s="36" t="s">
        <v>136</v>
      </c>
      <c r="L56" s="44">
        <v>56</v>
      </c>
      <c r="M56" s="79">
        <f>L56+SUM(M57:M58)</f>
        <v>54</v>
      </c>
      <c r="N56" s="79">
        <f>M56+SUM(N57:N58)</f>
        <v>55</v>
      </c>
      <c r="O56" s="79">
        <f>N56+SUM(O57:O58)</f>
        <v>45</v>
      </c>
      <c r="P56" s="79">
        <f>O56+SUM(P57:P58)</f>
        <v>51</v>
      </c>
      <c r="Q56" s="79">
        <f>P56+SUM(Q57:Q58)</f>
        <v>54</v>
      </c>
    </row>
    <row r="57" spans="1:17" s="2" customFormat="1" ht="24" customHeight="1" x14ac:dyDescent="0.25">
      <c r="A57" s="6"/>
      <c r="B57" s="185" t="s">
        <v>47</v>
      </c>
      <c r="C57" s="1119"/>
      <c r="D57" s="1120"/>
      <c r="E57" s="69"/>
      <c r="F57" s="36" t="s">
        <v>136</v>
      </c>
      <c r="G57" s="36" t="s">
        <v>136</v>
      </c>
      <c r="H57" s="36" t="s">
        <v>136</v>
      </c>
      <c r="I57" s="36" t="s">
        <v>136</v>
      </c>
      <c r="J57" s="36" t="s">
        <v>136</v>
      </c>
      <c r="K57" s="36" t="s">
        <v>136</v>
      </c>
      <c r="L57" s="153">
        <v>0</v>
      </c>
      <c r="M57" s="153">
        <v>0</v>
      </c>
      <c r="N57" s="79">
        <v>1</v>
      </c>
      <c r="O57" s="79">
        <v>0</v>
      </c>
      <c r="P57" s="79">
        <v>6</v>
      </c>
      <c r="Q57" s="202">
        <v>3</v>
      </c>
    </row>
    <row r="58" spans="1:17" s="2" customFormat="1" ht="24" customHeight="1" x14ac:dyDescent="0.25">
      <c r="A58" s="6"/>
      <c r="B58" s="188" t="s">
        <v>48</v>
      </c>
      <c r="C58" s="1119"/>
      <c r="D58" s="1120"/>
      <c r="E58" s="69"/>
      <c r="F58" s="36" t="s">
        <v>136</v>
      </c>
      <c r="G58" s="36" t="s">
        <v>136</v>
      </c>
      <c r="H58" s="36" t="s">
        <v>136</v>
      </c>
      <c r="I58" s="36" t="s">
        <v>136</v>
      </c>
      <c r="J58" s="36" t="s">
        <v>136</v>
      </c>
      <c r="K58" s="36" t="s">
        <v>136</v>
      </c>
      <c r="L58" s="153">
        <v>0</v>
      </c>
      <c r="M58" s="37">
        <v>-2</v>
      </c>
      <c r="N58" s="153">
        <v>0</v>
      </c>
      <c r="O58" s="37">
        <v>-10</v>
      </c>
      <c r="P58" s="153">
        <v>0</v>
      </c>
      <c r="Q58" s="202">
        <v>0</v>
      </c>
    </row>
    <row r="59" spans="1:17" x14ac:dyDescent="0.3">
      <c r="A59" s="5"/>
      <c r="B59" s="1116" t="s">
        <v>50</v>
      </c>
      <c r="C59" s="1117"/>
      <c r="D59" s="1117"/>
      <c r="E59" s="1117"/>
      <c r="F59" s="1117"/>
      <c r="G59" s="1117"/>
      <c r="H59" s="1117"/>
      <c r="I59" s="1117"/>
      <c r="J59" s="1117"/>
      <c r="K59" s="1117"/>
      <c r="L59" s="1117"/>
      <c r="M59" s="1117"/>
      <c r="N59" s="1117"/>
      <c r="O59" s="1117"/>
      <c r="P59" s="1117"/>
      <c r="Q59" s="1118"/>
    </row>
    <row r="60" spans="1:17" s="2" customFormat="1" ht="24" customHeight="1" x14ac:dyDescent="0.25">
      <c r="A60" s="6"/>
      <c r="B60" s="72" t="s">
        <v>51</v>
      </c>
      <c r="C60" s="1119"/>
      <c r="D60" s="1120"/>
      <c r="E60" s="166">
        <v>75</v>
      </c>
      <c r="F60" s="24">
        <v>78</v>
      </c>
      <c r="G60" s="25">
        <f>F60+SUM(G61:G62)</f>
        <v>76</v>
      </c>
      <c r="H60" s="25">
        <f>G60+SUM(H61:H62)</f>
        <v>80</v>
      </c>
      <c r="I60" s="25">
        <f t="shared" ref="I60:Q60" si="5">H60+SUM(I61:I62)</f>
        <v>76</v>
      </c>
      <c r="J60" s="25">
        <f t="shared" si="5"/>
        <v>75</v>
      </c>
      <c r="K60" s="25">
        <f t="shared" si="5"/>
        <v>74</v>
      </c>
      <c r="L60" s="25">
        <f t="shared" si="5"/>
        <v>71</v>
      </c>
      <c r="M60" s="25">
        <f t="shared" si="5"/>
        <v>72</v>
      </c>
      <c r="N60" s="25">
        <f t="shared" si="5"/>
        <v>74</v>
      </c>
      <c r="O60" s="25">
        <f t="shared" si="5"/>
        <v>72</v>
      </c>
      <c r="P60" s="25">
        <f t="shared" si="5"/>
        <v>75</v>
      </c>
      <c r="Q60" s="25">
        <f t="shared" si="5"/>
        <v>79</v>
      </c>
    </row>
    <row r="61" spans="1:17" s="2" customFormat="1" ht="24" customHeight="1" x14ac:dyDescent="0.25">
      <c r="A61" s="6"/>
      <c r="B61" s="185" t="s">
        <v>32</v>
      </c>
      <c r="C61" s="1119"/>
      <c r="D61" s="1120"/>
      <c r="E61" s="69"/>
      <c r="F61" s="43">
        <v>0</v>
      </c>
      <c r="G61" s="44">
        <v>0</v>
      </c>
      <c r="H61" s="44">
        <v>4</v>
      </c>
      <c r="I61" s="44">
        <v>0</v>
      </c>
      <c r="J61" s="44">
        <v>0</v>
      </c>
      <c r="K61" s="44">
        <v>0</v>
      </c>
      <c r="L61" s="44">
        <v>0</v>
      </c>
      <c r="M61" s="44">
        <v>1</v>
      </c>
      <c r="N61" s="44">
        <v>2</v>
      </c>
      <c r="O61" s="44">
        <v>0</v>
      </c>
      <c r="P61" s="44">
        <v>3</v>
      </c>
      <c r="Q61" s="202">
        <v>4</v>
      </c>
    </row>
    <row r="62" spans="1:17" s="2" customFormat="1" ht="24" customHeight="1" x14ac:dyDescent="0.25">
      <c r="A62" s="6"/>
      <c r="B62" s="189" t="s">
        <v>33</v>
      </c>
      <c r="C62" s="1127"/>
      <c r="D62" s="1128"/>
      <c r="E62" s="83"/>
      <c r="F62" s="66">
        <v>-1</v>
      </c>
      <c r="G62" s="67">
        <v>-2</v>
      </c>
      <c r="H62" s="67">
        <v>0</v>
      </c>
      <c r="I62" s="67">
        <v>-4</v>
      </c>
      <c r="J62" s="67">
        <v>-1</v>
      </c>
      <c r="K62" s="67">
        <v>-1</v>
      </c>
      <c r="L62" s="67">
        <v>-3</v>
      </c>
      <c r="M62" s="67">
        <v>0</v>
      </c>
      <c r="N62" s="67">
        <v>0</v>
      </c>
      <c r="O62" s="67">
        <v>-2</v>
      </c>
      <c r="P62" s="67">
        <v>0</v>
      </c>
      <c r="Q62" s="202">
        <v>0</v>
      </c>
    </row>
    <row r="63" spans="1:17" x14ac:dyDescent="0.3">
      <c r="A63" s="5"/>
      <c r="B63" s="1116" t="s">
        <v>52</v>
      </c>
      <c r="C63" s="1117"/>
      <c r="D63" s="1117"/>
      <c r="E63" s="1117"/>
      <c r="F63" s="1117"/>
      <c r="G63" s="1117"/>
      <c r="H63" s="1117"/>
      <c r="I63" s="1117"/>
      <c r="J63" s="1117"/>
      <c r="K63" s="1117"/>
      <c r="L63" s="1117"/>
      <c r="M63" s="1117"/>
      <c r="N63" s="1117"/>
      <c r="O63" s="1117"/>
      <c r="P63" s="1117"/>
      <c r="Q63" s="1118"/>
    </row>
    <row r="64" spans="1:17" s="2" customFormat="1" ht="24" customHeight="1" x14ac:dyDescent="0.25">
      <c r="A64" s="6"/>
      <c r="B64" s="72" t="s">
        <v>53</v>
      </c>
      <c r="C64" s="1119"/>
      <c r="D64" s="1120"/>
      <c r="E64" s="166">
        <v>408</v>
      </c>
      <c r="F64" s="24">
        <v>388</v>
      </c>
      <c r="G64" s="25">
        <f>F64+SUM(G65:G66)</f>
        <v>408</v>
      </c>
      <c r="H64" s="25">
        <f t="shared" ref="H64:Q64" si="6">G64+SUM(H65:H66)</f>
        <v>409</v>
      </c>
      <c r="I64" s="25">
        <f t="shared" si="6"/>
        <v>409</v>
      </c>
      <c r="J64" s="25">
        <f t="shared" si="6"/>
        <v>419</v>
      </c>
      <c r="K64" s="25">
        <f t="shared" si="6"/>
        <v>430</v>
      </c>
      <c r="L64" s="25">
        <f t="shared" si="6"/>
        <v>420</v>
      </c>
      <c r="M64" s="25">
        <f t="shared" si="6"/>
        <v>414</v>
      </c>
      <c r="N64" s="25">
        <f t="shared" si="6"/>
        <v>410</v>
      </c>
      <c r="O64" s="25">
        <f t="shared" si="6"/>
        <v>415</v>
      </c>
      <c r="P64" s="25">
        <f t="shared" si="6"/>
        <v>408</v>
      </c>
      <c r="Q64" s="25">
        <f t="shared" si="6"/>
        <v>417</v>
      </c>
    </row>
    <row r="65" spans="1:17" s="2" customFormat="1" ht="24" customHeight="1" x14ac:dyDescent="0.25">
      <c r="A65" s="6"/>
      <c r="B65" s="185" t="s">
        <v>32</v>
      </c>
      <c r="C65" s="1119"/>
      <c r="D65" s="1120"/>
      <c r="E65" s="69"/>
      <c r="F65" s="43">
        <v>0</v>
      </c>
      <c r="G65" s="44">
        <v>20</v>
      </c>
      <c r="H65" s="44">
        <v>1</v>
      </c>
      <c r="I65" s="44">
        <v>2</v>
      </c>
      <c r="J65" s="44">
        <v>10</v>
      </c>
      <c r="K65" s="44">
        <v>11</v>
      </c>
      <c r="L65" s="44">
        <v>0</v>
      </c>
      <c r="M65" s="44">
        <v>0</v>
      </c>
      <c r="N65" s="44">
        <v>0</v>
      </c>
      <c r="O65" s="44">
        <v>5</v>
      </c>
      <c r="P65" s="44">
        <v>0</v>
      </c>
      <c r="Q65" s="202">
        <v>9</v>
      </c>
    </row>
    <row r="66" spans="1:17" s="2" customFormat="1" ht="24" customHeight="1" x14ac:dyDescent="0.25">
      <c r="A66" s="6"/>
      <c r="B66" s="185" t="s">
        <v>33</v>
      </c>
      <c r="C66" s="1119"/>
      <c r="D66" s="1120"/>
      <c r="E66" s="69"/>
      <c r="F66" s="43">
        <v>-7</v>
      </c>
      <c r="G66" s="44">
        <v>0</v>
      </c>
      <c r="H66" s="44">
        <v>0</v>
      </c>
      <c r="I66" s="44">
        <v>-2</v>
      </c>
      <c r="J66" s="44">
        <v>0</v>
      </c>
      <c r="K66" s="44">
        <v>0</v>
      </c>
      <c r="L66" s="44">
        <v>-10</v>
      </c>
      <c r="M66" s="44">
        <v>-6</v>
      </c>
      <c r="N66" s="44">
        <v>-4</v>
      </c>
      <c r="O66" s="44">
        <v>0</v>
      </c>
      <c r="P66" s="44">
        <v>-7</v>
      </c>
      <c r="Q66" s="202">
        <v>0</v>
      </c>
    </row>
    <row r="67" spans="1:17" s="2" customFormat="1" ht="24" customHeight="1" x14ac:dyDescent="0.25">
      <c r="A67" s="6"/>
      <c r="B67" s="70" t="s">
        <v>54</v>
      </c>
      <c r="C67" s="1119"/>
      <c r="D67" s="1120"/>
      <c r="E67" s="50"/>
      <c r="F67" s="78">
        <v>8686</v>
      </c>
      <c r="G67" s="79">
        <v>9353</v>
      </c>
      <c r="H67" s="79">
        <v>8952</v>
      </c>
      <c r="I67" s="79">
        <v>10110</v>
      </c>
      <c r="J67" s="79">
        <v>9721</v>
      </c>
      <c r="K67" s="79">
        <v>9330</v>
      </c>
      <c r="L67" s="79">
        <v>8975</v>
      </c>
      <c r="M67" s="79">
        <v>8858</v>
      </c>
      <c r="N67" s="79">
        <v>9062</v>
      </c>
      <c r="O67" s="79">
        <v>9373</v>
      </c>
      <c r="P67" s="79">
        <f>147015/14.16</f>
        <v>10382.415254237289</v>
      </c>
      <c r="Q67" s="80">
        <f>128322/14.16</f>
        <v>9062.2881355932204</v>
      </c>
    </row>
    <row r="68" spans="1:17" s="2" customFormat="1" ht="24" customHeight="1" x14ac:dyDescent="0.25">
      <c r="A68" s="6"/>
      <c r="B68" s="70" t="s">
        <v>55</v>
      </c>
      <c r="C68" s="1119"/>
      <c r="D68" s="1120"/>
      <c r="E68" s="164">
        <v>151</v>
      </c>
      <c r="F68" s="43">
        <v>155</v>
      </c>
      <c r="G68" s="44">
        <f>F68+SUM(G69:G70)</f>
        <v>156</v>
      </c>
      <c r="H68" s="44">
        <f t="shared" ref="H68:Q68" si="7">G68+SUM(H69:H70)</f>
        <v>156</v>
      </c>
      <c r="I68" s="44">
        <f t="shared" si="7"/>
        <v>157</v>
      </c>
      <c r="J68" s="44">
        <f t="shared" si="7"/>
        <v>159</v>
      </c>
      <c r="K68" s="44">
        <f t="shared" si="7"/>
        <v>157</v>
      </c>
      <c r="L68" s="44">
        <f t="shared" si="7"/>
        <v>155</v>
      </c>
      <c r="M68" s="44">
        <f t="shared" si="7"/>
        <v>154</v>
      </c>
      <c r="N68" s="44">
        <f t="shared" si="7"/>
        <v>153</v>
      </c>
      <c r="O68" s="44">
        <f t="shared" si="7"/>
        <v>154</v>
      </c>
      <c r="P68" s="44">
        <f t="shared" si="7"/>
        <v>151</v>
      </c>
      <c r="Q68" s="44">
        <f t="shared" si="7"/>
        <v>150</v>
      </c>
    </row>
    <row r="69" spans="1:17" s="2" customFormat="1" ht="24" customHeight="1" x14ac:dyDescent="0.25">
      <c r="A69" s="6"/>
      <c r="B69" s="185" t="s">
        <v>32</v>
      </c>
      <c r="C69" s="1119"/>
      <c r="D69" s="1120"/>
      <c r="E69" s="69"/>
      <c r="F69" s="43">
        <v>5</v>
      </c>
      <c r="G69" s="44">
        <v>1</v>
      </c>
      <c r="H69" s="44">
        <v>0</v>
      </c>
      <c r="I69" s="44">
        <v>1</v>
      </c>
      <c r="J69" s="44">
        <v>2</v>
      </c>
      <c r="K69" s="44">
        <v>0</v>
      </c>
      <c r="L69" s="44">
        <v>0</v>
      </c>
      <c r="M69" s="44">
        <v>0</v>
      </c>
      <c r="N69" s="44">
        <v>0</v>
      </c>
      <c r="O69" s="44">
        <v>1</v>
      </c>
      <c r="P69" s="44">
        <v>0</v>
      </c>
      <c r="Q69" s="202">
        <v>0</v>
      </c>
    </row>
    <row r="70" spans="1:17" s="2" customFormat="1" ht="24" customHeight="1" x14ac:dyDescent="0.25">
      <c r="A70" s="6"/>
      <c r="B70" s="185" t="s">
        <v>33</v>
      </c>
      <c r="C70" s="1119"/>
      <c r="D70" s="1120"/>
      <c r="E70" s="69"/>
      <c r="F70" s="43">
        <v>0</v>
      </c>
      <c r="G70" s="44">
        <v>0</v>
      </c>
      <c r="H70" s="44">
        <v>0</v>
      </c>
      <c r="I70" s="44">
        <v>0</v>
      </c>
      <c r="J70" s="44">
        <v>0</v>
      </c>
      <c r="K70" s="44">
        <v>-2</v>
      </c>
      <c r="L70" s="44">
        <v>-2</v>
      </c>
      <c r="M70" s="44">
        <v>-1</v>
      </c>
      <c r="N70" s="44">
        <v>-1</v>
      </c>
      <c r="O70" s="44">
        <v>0</v>
      </c>
      <c r="P70" s="44">
        <v>-3</v>
      </c>
      <c r="Q70" s="202">
        <v>-1</v>
      </c>
    </row>
    <row r="71" spans="1:17" s="2" customFormat="1" ht="24" customHeight="1" x14ac:dyDescent="0.25">
      <c r="A71" s="6"/>
      <c r="B71" s="70" t="s">
        <v>56</v>
      </c>
      <c r="C71" s="1119"/>
      <c r="D71" s="1120"/>
      <c r="E71" s="69"/>
      <c r="F71" s="43">
        <v>797</v>
      </c>
      <c r="G71" s="44">
        <v>795</v>
      </c>
      <c r="H71" s="44">
        <v>807</v>
      </c>
      <c r="I71" s="44">
        <v>804</v>
      </c>
      <c r="J71" s="44">
        <v>799</v>
      </c>
      <c r="K71" s="44">
        <v>796</v>
      </c>
      <c r="L71" s="44">
        <f>337+449</f>
        <v>786</v>
      </c>
      <c r="M71" s="44">
        <v>785</v>
      </c>
      <c r="N71" s="44">
        <v>787</v>
      </c>
      <c r="O71" s="44">
        <v>777</v>
      </c>
      <c r="P71" s="44">
        <f>333+449</f>
        <v>782</v>
      </c>
      <c r="Q71" s="45">
        <f>328+444</f>
        <v>772</v>
      </c>
    </row>
    <row r="72" spans="1:17" s="2" customFormat="1" ht="24" customHeight="1" x14ac:dyDescent="0.25">
      <c r="A72" s="6"/>
      <c r="B72" s="185" t="s">
        <v>32</v>
      </c>
      <c r="C72" s="1119"/>
      <c r="D72" s="1120"/>
      <c r="E72" s="69"/>
      <c r="F72" s="1163"/>
      <c r="G72" s="1164"/>
      <c r="H72" s="1164"/>
      <c r="I72" s="1164"/>
      <c r="J72" s="1164"/>
      <c r="K72" s="1164"/>
      <c r="L72" s="1164"/>
      <c r="M72" s="1164"/>
      <c r="N72" s="1164"/>
      <c r="O72" s="1164"/>
      <c r="P72" s="1164"/>
      <c r="Q72" s="1165"/>
    </row>
    <row r="73" spans="1:17" s="2" customFormat="1" ht="24" customHeight="1" x14ac:dyDescent="0.25">
      <c r="A73" s="6"/>
      <c r="B73" s="185" t="s">
        <v>33</v>
      </c>
      <c r="C73" s="1119"/>
      <c r="D73" s="1120"/>
      <c r="E73" s="69"/>
      <c r="F73" s="1156"/>
      <c r="G73" s="1166"/>
      <c r="H73" s="1166"/>
      <c r="I73" s="1166"/>
      <c r="J73" s="1166"/>
      <c r="K73" s="1166"/>
      <c r="L73" s="1166"/>
      <c r="M73" s="1166"/>
      <c r="N73" s="1166"/>
      <c r="O73" s="1166"/>
      <c r="P73" s="1166"/>
      <c r="Q73" s="1167"/>
    </row>
    <row r="74" spans="1:17" s="2" customFormat="1" ht="24" customHeight="1" x14ac:dyDescent="0.25">
      <c r="A74" s="6"/>
      <c r="B74" s="70" t="s">
        <v>57</v>
      </c>
      <c r="C74" s="1119"/>
      <c r="D74" s="1120"/>
      <c r="E74" s="158">
        <f>SUM(F74:Q74)</f>
        <v>4223501</v>
      </c>
      <c r="F74" s="155">
        <v>356219</v>
      </c>
      <c r="G74" s="156">
        <v>355834</v>
      </c>
      <c r="H74" s="156">
        <v>362745</v>
      </c>
      <c r="I74" s="156">
        <v>361964</v>
      </c>
      <c r="J74" s="156">
        <v>351557</v>
      </c>
      <c r="K74" s="156">
        <v>350972</v>
      </c>
      <c r="L74" s="156">
        <v>347712</v>
      </c>
      <c r="M74" s="156">
        <v>348541</v>
      </c>
      <c r="N74" s="156">
        <v>349487</v>
      </c>
      <c r="O74" s="156">
        <v>345364</v>
      </c>
      <c r="P74" s="156">
        <f>209266+138238</f>
        <v>347504</v>
      </c>
      <c r="Q74" s="157">
        <f>138003+207599</f>
        <v>345602</v>
      </c>
    </row>
    <row r="75" spans="1:17" s="2" customFormat="1" ht="24" customHeight="1" x14ac:dyDescent="0.25">
      <c r="A75" s="6"/>
      <c r="B75" s="70" t="s">
        <v>58</v>
      </c>
      <c r="C75" s="1119"/>
      <c r="D75" s="1120"/>
      <c r="E75" s="164">
        <v>139</v>
      </c>
      <c r="F75" s="43">
        <v>130</v>
      </c>
      <c r="G75" s="44">
        <f>F75+SUM(G76:G77)</f>
        <v>128</v>
      </c>
      <c r="H75" s="44">
        <f t="shared" ref="H75:Q75" si="8">G75+SUM(H76:H77)</f>
        <v>125</v>
      </c>
      <c r="I75" s="44">
        <f t="shared" si="8"/>
        <v>121</v>
      </c>
      <c r="J75" s="44">
        <f t="shared" si="8"/>
        <v>122</v>
      </c>
      <c r="K75" s="44">
        <f t="shared" si="8"/>
        <v>122</v>
      </c>
      <c r="L75" s="44">
        <f t="shared" si="8"/>
        <v>129</v>
      </c>
      <c r="M75" s="44">
        <f t="shared" si="8"/>
        <v>127</v>
      </c>
      <c r="N75" s="44">
        <f t="shared" si="8"/>
        <v>135</v>
      </c>
      <c r="O75" s="44">
        <f t="shared" si="8"/>
        <v>138</v>
      </c>
      <c r="P75" s="44">
        <f t="shared" si="8"/>
        <v>139</v>
      </c>
      <c r="Q75" s="44">
        <f t="shared" si="8"/>
        <v>131</v>
      </c>
    </row>
    <row r="76" spans="1:17" s="2" customFormat="1" ht="24" customHeight="1" x14ac:dyDescent="0.25">
      <c r="A76" s="6"/>
      <c r="B76" s="185" t="s">
        <v>32</v>
      </c>
      <c r="C76" s="1119"/>
      <c r="D76" s="1120"/>
      <c r="E76" s="69"/>
      <c r="F76" s="43">
        <v>0</v>
      </c>
      <c r="G76" s="44">
        <v>0</v>
      </c>
      <c r="H76" s="44">
        <v>0</v>
      </c>
      <c r="I76" s="44">
        <v>0</v>
      </c>
      <c r="J76" s="44">
        <v>1</v>
      </c>
      <c r="K76" s="44">
        <v>0</v>
      </c>
      <c r="L76" s="44">
        <v>7</v>
      </c>
      <c r="M76" s="44">
        <v>0</v>
      </c>
      <c r="N76" s="44">
        <v>8</v>
      </c>
      <c r="O76" s="44">
        <v>3</v>
      </c>
      <c r="P76" s="44">
        <v>1</v>
      </c>
      <c r="Q76" s="202">
        <v>0</v>
      </c>
    </row>
    <row r="77" spans="1:17" s="2" customFormat="1" ht="24" customHeight="1" x14ac:dyDescent="0.25">
      <c r="A77" s="6"/>
      <c r="B77" s="188" t="s">
        <v>33</v>
      </c>
      <c r="C77" s="1119"/>
      <c r="D77" s="1120"/>
      <c r="E77" s="69"/>
      <c r="F77" s="30">
        <v>-5</v>
      </c>
      <c r="G77" s="31">
        <v>-2</v>
      </c>
      <c r="H77" s="31">
        <v>-3</v>
      </c>
      <c r="I77" s="31">
        <v>-4</v>
      </c>
      <c r="J77" s="31">
        <v>0</v>
      </c>
      <c r="K77" s="31">
        <v>0</v>
      </c>
      <c r="L77" s="31">
        <v>0</v>
      </c>
      <c r="M77" s="31">
        <v>-2</v>
      </c>
      <c r="N77" s="31">
        <v>0</v>
      </c>
      <c r="O77" s="31">
        <v>0</v>
      </c>
      <c r="P77" s="31">
        <v>0</v>
      </c>
      <c r="Q77" s="202">
        <v>-8</v>
      </c>
    </row>
    <row r="78" spans="1:17" x14ac:dyDescent="0.3">
      <c r="A78" s="5"/>
      <c r="B78" s="1116" t="s">
        <v>59</v>
      </c>
      <c r="C78" s="1117"/>
      <c r="D78" s="1117"/>
      <c r="E78" s="1117"/>
      <c r="F78" s="1117"/>
      <c r="G78" s="1117"/>
      <c r="H78" s="1117"/>
      <c r="I78" s="1117"/>
      <c r="J78" s="1117"/>
      <c r="K78" s="1117"/>
      <c r="L78" s="1117"/>
      <c r="M78" s="1117"/>
      <c r="N78" s="1117"/>
      <c r="O78" s="1117"/>
      <c r="P78" s="1117"/>
      <c r="Q78" s="1118"/>
    </row>
    <row r="79" spans="1:17" s="3" customFormat="1" ht="24" customHeight="1" x14ac:dyDescent="0.25">
      <c r="A79" s="7"/>
      <c r="B79" s="21" t="s">
        <v>60</v>
      </c>
      <c r="C79" s="84">
        <f>SUM(C80:C86)</f>
        <v>12782</v>
      </c>
      <c r="D79" s="85">
        <f>SUM(D80:D86)</f>
        <v>14761</v>
      </c>
      <c r="E79" s="167">
        <f t="shared" ref="E79:E87" si="9">SUM(F79:Q79)</f>
        <v>10469</v>
      </c>
      <c r="F79" s="86">
        <f t="shared" ref="F79:P79" si="10">SUM(F80:F86)</f>
        <v>1055</v>
      </c>
      <c r="G79" s="87">
        <f t="shared" si="10"/>
        <v>905</v>
      </c>
      <c r="H79" s="87">
        <f t="shared" si="10"/>
        <v>967</v>
      </c>
      <c r="I79" s="87">
        <f t="shared" si="10"/>
        <v>970</v>
      </c>
      <c r="J79" s="87">
        <f t="shared" si="10"/>
        <v>735</v>
      </c>
      <c r="K79" s="87">
        <f t="shared" si="10"/>
        <v>777</v>
      </c>
      <c r="L79" s="87">
        <f t="shared" si="10"/>
        <v>1102</v>
      </c>
      <c r="M79" s="87">
        <f t="shared" si="10"/>
        <v>826</v>
      </c>
      <c r="N79" s="87">
        <f t="shared" si="10"/>
        <v>891</v>
      </c>
      <c r="O79" s="87">
        <f t="shared" si="10"/>
        <v>873</v>
      </c>
      <c r="P79" s="87">
        <f t="shared" si="10"/>
        <v>692</v>
      </c>
      <c r="Q79" s="88">
        <f>SUM(Q80:Q86)</f>
        <v>676</v>
      </c>
    </row>
    <row r="80" spans="1:17" s="3" customFormat="1" ht="24" customHeight="1" x14ac:dyDescent="0.25">
      <c r="A80" s="7"/>
      <c r="B80" s="190" t="s">
        <v>61</v>
      </c>
      <c r="C80" s="90">
        <f>79+6+1+147+8+61+6+5+4712+531+52+2360+166+8</f>
        <v>8142</v>
      </c>
      <c r="D80" s="91">
        <f>53+10+72+3+34+4+141+18+1+37+3+5841+537+33+2161+173+9+1030+98</f>
        <v>10258</v>
      </c>
      <c r="E80" s="167">
        <f t="shared" si="9"/>
        <v>6755</v>
      </c>
      <c r="F80" s="92">
        <f>7+392+1+1+196</f>
        <v>597</v>
      </c>
      <c r="G80" s="93">
        <f>22+224+1+1+231+1</f>
        <v>480</v>
      </c>
      <c r="H80" s="93">
        <f>12+1+366+1+226+2</f>
        <v>608</v>
      </c>
      <c r="I80" s="93">
        <f>3+344+6+3+3+273+4</f>
        <v>636</v>
      </c>
      <c r="J80" s="93">
        <f>6+209+37+16+180+32</f>
        <v>480</v>
      </c>
      <c r="K80" s="93">
        <f>3+286+39+13+6+1+167+9+1</f>
        <v>525</v>
      </c>
      <c r="L80" s="93">
        <f>4+1+371+60+6+8+268+56</f>
        <v>774</v>
      </c>
      <c r="M80" s="93">
        <f>1+1+257+34+3+14+1+51+4+276</f>
        <v>642</v>
      </c>
      <c r="N80" s="93">
        <f>1+238+31+13+5+307+56+6</f>
        <v>657</v>
      </c>
      <c r="O80" s="93">
        <f>4+194+15+2+17+288+46</f>
        <v>566</v>
      </c>
      <c r="P80" s="93">
        <f>2+1+145+12+9+2+233+12</f>
        <v>416</v>
      </c>
      <c r="Q80" s="94">
        <f>4+155+6+209</f>
        <v>374</v>
      </c>
    </row>
    <row r="81" spans="1:17" s="3" customFormat="1" ht="24" customHeight="1" x14ac:dyDescent="0.25">
      <c r="A81" s="7"/>
      <c r="B81" s="190" t="s">
        <v>62</v>
      </c>
      <c r="C81" s="90">
        <f>1+71+9+38+32+57+532+1+24</f>
        <v>765</v>
      </c>
      <c r="D81" s="91">
        <f>10+2+4+4+1+21+9+36+313+4+23+4</f>
        <v>431</v>
      </c>
      <c r="E81" s="167">
        <f t="shared" si="9"/>
        <v>367</v>
      </c>
      <c r="F81" s="92">
        <f>1+43+1+2</f>
        <v>47</v>
      </c>
      <c r="G81" s="93">
        <f>1+2+54+3+1+1</f>
        <v>62</v>
      </c>
      <c r="H81" s="93">
        <f>1+34+1+2+3</f>
        <v>41</v>
      </c>
      <c r="I81" s="93">
        <f>15+1</f>
        <v>16</v>
      </c>
      <c r="J81" s="93">
        <v>5</v>
      </c>
      <c r="K81" s="93">
        <f>1+4+2</f>
        <v>7</v>
      </c>
      <c r="L81" s="93">
        <f>7+8+10</f>
        <v>25</v>
      </c>
      <c r="M81" s="93">
        <f>1+1</f>
        <v>2</v>
      </c>
      <c r="N81" s="93">
        <f>6+4+8</f>
        <v>18</v>
      </c>
      <c r="O81" s="93">
        <f>15+7+20</f>
        <v>42</v>
      </c>
      <c r="P81" s="93">
        <f>1+21+9+17</f>
        <v>48</v>
      </c>
      <c r="Q81" s="94">
        <f>26+6+1+21</f>
        <v>54</v>
      </c>
    </row>
    <row r="82" spans="1:17" s="3" customFormat="1" ht="24" customHeight="1" x14ac:dyDescent="0.25">
      <c r="A82" s="7"/>
      <c r="B82" s="190" t="s">
        <v>70</v>
      </c>
      <c r="C82" s="90">
        <f>1+3+3+18+204+2+20+41+5+7</f>
        <v>304</v>
      </c>
      <c r="D82" s="91">
        <f>8+9+60+9+23+25+38</f>
        <v>172</v>
      </c>
      <c r="E82" s="167">
        <f t="shared" si="9"/>
        <v>116</v>
      </c>
      <c r="F82" s="92">
        <f>1+12+11</f>
        <v>24</v>
      </c>
      <c r="G82" s="93">
        <f>2+11+8+3</f>
        <v>24</v>
      </c>
      <c r="H82" s="93">
        <f>2+15+4+1</f>
        <v>22</v>
      </c>
      <c r="I82" s="93">
        <f>4+6+3</f>
        <v>13</v>
      </c>
      <c r="J82" s="93">
        <f>1+3+4</f>
        <v>8</v>
      </c>
      <c r="K82" s="93">
        <f>1+9+4</f>
        <v>14</v>
      </c>
      <c r="L82" s="93">
        <f>2+1</f>
        <v>3</v>
      </c>
      <c r="M82" s="93">
        <v>1</v>
      </c>
      <c r="N82" s="93">
        <f>1+1</f>
        <v>2</v>
      </c>
      <c r="O82" s="93">
        <f>1+1</f>
        <v>2</v>
      </c>
      <c r="P82" s="93">
        <v>1</v>
      </c>
      <c r="Q82" s="94">
        <f>1+1</f>
        <v>2</v>
      </c>
    </row>
    <row r="83" spans="1:17" s="3" customFormat="1" ht="24" customHeight="1" x14ac:dyDescent="0.25">
      <c r="A83" s="7"/>
      <c r="B83" s="190" t="s">
        <v>63</v>
      </c>
      <c r="C83" s="90">
        <f>3+12+11+167+1+17+1+6+3+439+2+938+1</f>
        <v>1601</v>
      </c>
      <c r="D83" s="91">
        <f>3+8+73+7+33+6+114+2+524+8+845+324</f>
        <v>1947</v>
      </c>
      <c r="E83" s="167">
        <f t="shared" si="9"/>
        <v>1660</v>
      </c>
      <c r="F83" s="92">
        <f>7+65+132</f>
        <v>204</v>
      </c>
      <c r="G83" s="93">
        <f>1+15+2+82+110</f>
        <v>210</v>
      </c>
      <c r="H83" s="93">
        <f>2+1+59+71</f>
        <v>133</v>
      </c>
      <c r="I83" s="93">
        <f>1+6+4+52+3+91</f>
        <v>157</v>
      </c>
      <c r="J83" s="93">
        <f>1+1+1+36+1+77</f>
        <v>117</v>
      </c>
      <c r="K83" s="93">
        <f>1+3+28+1+87</f>
        <v>120</v>
      </c>
      <c r="L83" s="93">
        <f>8+3+67+2+62</f>
        <v>142</v>
      </c>
      <c r="M83" s="93">
        <f>5+68+1+27</f>
        <v>101</v>
      </c>
      <c r="N83" s="93">
        <f>1+1+51+2+36</f>
        <v>91</v>
      </c>
      <c r="O83" s="93">
        <f>2+55+1+3+3+68</f>
        <v>132</v>
      </c>
      <c r="P83" s="93">
        <f>3+53+59+2</f>
        <v>117</v>
      </c>
      <c r="Q83" s="94">
        <f>1+81+1+53</f>
        <v>136</v>
      </c>
    </row>
    <row r="84" spans="1:17" s="3" customFormat="1" ht="24" customHeight="1" x14ac:dyDescent="0.25">
      <c r="A84" s="7"/>
      <c r="B84" s="190" t="s">
        <v>64</v>
      </c>
      <c r="C84" s="90">
        <f>13+65+16+1+617+726+1</f>
        <v>1439</v>
      </c>
      <c r="D84" s="91">
        <f>2+32+10+24+5+597+570+184</f>
        <v>1424</v>
      </c>
      <c r="E84" s="167">
        <f t="shared" si="9"/>
        <v>1350</v>
      </c>
      <c r="F84" s="92">
        <f>1+69+1+96</f>
        <v>167</v>
      </c>
      <c r="G84" s="93">
        <f>7+47+58</f>
        <v>112</v>
      </c>
      <c r="H84" s="93">
        <f>1+59+1+84</f>
        <v>145</v>
      </c>
      <c r="I84" s="93">
        <f>2+55+1+72</f>
        <v>130</v>
      </c>
      <c r="J84" s="93">
        <f>44+66</f>
        <v>110</v>
      </c>
      <c r="K84" s="93">
        <f>35+1+44</f>
        <v>80</v>
      </c>
      <c r="L84" s="93">
        <f>2+58+1+67</f>
        <v>128</v>
      </c>
      <c r="M84" s="93">
        <f>19+2+39</f>
        <v>60</v>
      </c>
      <c r="N84" s="93">
        <f>1+40+5+67</f>
        <v>113</v>
      </c>
      <c r="O84" s="93">
        <f>1+33+2+81</f>
        <v>117</v>
      </c>
      <c r="P84" s="93">
        <f>3+36+58</f>
        <v>97</v>
      </c>
      <c r="Q84" s="94">
        <f>1+32+2+56</f>
        <v>91</v>
      </c>
    </row>
    <row r="85" spans="1:17" s="3" customFormat="1" ht="24" customHeight="1" x14ac:dyDescent="0.25">
      <c r="A85" s="7"/>
      <c r="B85" s="190" t="s">
        <v>65</v>
      </c>
      <c r="C85" s="90">
        <f>64+13</f>
        <v>77</v>
      </c>
      <c r="D85" s="91">
        <f>1+3+1+66+12+7</f>
        <v>90</v>
      </c>
      <c r="E85" s="167">
        <f t="shared" si="9"/>
        <v>83</v>
      </c>
      <c r="F85" s="92">
        <v>4</v>
      </c>
      <c r="G85" s="93">
        <f>9+1</f>
        <v>10</v>
      </c>
      <c r="H85" s="93">
        <v>9</v>
      </c>
      <c r="I85" s="93">
        <v>4</v>
      </c>
      <c r="J85" s="93">
        <v>10</v>
      </c>
      <c r="K85" s="93">
        <f>9+1+1</f>
        <v>11</v>
      </c>
      <c r="L85" s="93">
        <f>4+1+2</f>
        <v>7</v>
      </c>
      <c r="M85" s="93">
        <f>2+1</f>
        <v>3</v>
      </c>
      <c r="N85" s="93">
        <v>1</v>
      </c>
      <c r="O85" s="93">
        <f>4+4</f>
        <v>8</v>
      </c>
      <c r="P85" s="93">
        <f>3+1+5</f>
        <v>9</v>
      </c>
      <c r="Q85" s="94">
        <f>3+4</f>
        <v>7</v>
      </c>
    </row>
    <row r="86" spans="1:17" s="3" customFormat="1" ht="37.35" customHeight="1" x14ac:dyDescent="0.25">
      <c r="A86" s="7"/>
      <c r="B86" s="184" t="s">
        <v>122</v>
      </c>
      <c r="C86" s="90">
        <f>4+1+6+1+4+1+12+46+69+3+3+4+1+4+1+2+8+10+5+81+2+135+24+2+11+12+2</f>
        <v>454</v>
      </c>
      <c r="D86" s="91">
        <f>3+1+3+2+15+4+35+1+7+1+1+6+1+15+2+4+9+34+1+54+1+2+2+27+1+8+109+1+33+1+29+1+7+2+4+8+1+2+1</f>
        <v>439</v>
      </c>
      <c r="E86" s="167">
        <f t="shared" si="9"/>
        <v>138</v>
      </c>
      <c r="F86" s="92">
        <f>1+3+1+1+2+1+1+2</f>
        <v>12</v>
      </c>
      <c r="G86" s="93">
        <f>1+3+1+2</f>
        <v>7</v>
      </c>
      <c r="H86" s="93">
        <f>3+1+1+2+1+1</f>
        <v>9</v>
      </c>
      <c r="I86" s="93">
        <f>1+1+1+4+1+2+2+2</f>
        <v>14</v>
      </c>
      <c r="J86" s="93">
        <f>4+1</f>
        <v>5</v>
      </c>
      <c r="K86" s="93">
        <f>3+1+15+1</f>
        <v>20</v>
      </c>
      <c r="L86" s="93">
        <f>3+1+10+6+1+2</f>
        <v>23</v>
      </c>
      <c r="M86" s="93">
        <f>2+4+7+3+1</f>
        <v>17</v>
      </c>
      <c r="N86" s="93">
        <f>1+1+1+1+1+1+1+1+1</f>
        <v>9</v>
      </c>
      <c r="O86" s="93">
        <f>2+2+1+1</f>
        <v>6</v>
      </c>
      <c r="P86" s="93">
        <f>2+1+1</f>
        <v>4</v>
      </c>
      <c r="Q86" s="94">
        <f>1+1+3+2+1+4</f>
        <v>12</v>
      </c>
    </row>
    <row r="87" spans="1:17" s="3" customFormat="1" ht="24" customHeight="1" x14ac:dyDescent="0.25">
      <c r="A87" s="7"/>
      <c r="B87" s="95" t="s">
        <v>66</v>
      </c>
      <c r="C87" s="96">
        <v>67</v>
      </c>
      <c r="D87" s="97">
        <v>84</v>
      </c>
      <c r="E87" s="168">
        <f t="shared" si="9"/>
        <v>28</v>
      </c>
      <c r="F87" s="98"/>
      <c r="G87" s="99"/>
      <c r="H87" s="99">
        <v>7</v>
      </c>
      <c r="I87" s="99">
        <v>2</v>
      </c>
      <c r="J87" s="99">
        <v>2</v>
      </c>
      <c r="K87" s="99">
        <v>3</v>
      </c>
      <c r="L87" s="99">
        <v>2</v>
      </c>
      <c r="M87" s="99">
        <v>3</v>
      </c>
      <c r="N87" s="99">
        <v>4</v>
      </c>
      <c r="O87" s="99">
        <v>3</v>
      </c>
      <c r="P87" s="99"/>
      <c r="Q87" s="100">
        <v>2</v>
      </c>
    </row>
    <row r="88" spans="1:17" x14ac:dyDescent="0.3">
      <c r="A88" s="5"/>
      <c r="B88" s="1098" t="s">
        <v>71</v>
      </c>
      <c r="C88" s="1099"/>
      <c r="D88" s="1099"/>
      <c r="E88" s="1099"/>
      <c r="F88" s="1099"/>
      <c r="G88" s="1099"/>
      <c r="H88" s="1099"/>
      <c r="I88" s="1099"/>
      <c r="J88" s="1099"/>
      <c r="K88" s="1099"/>
      <c r="L88" s="1099"/>
      <c r="M88" s="1099"/>
      <c r="N88" s="1099"/>
      <c r="O88" s="1099"/>
      <c r="P88" s="1099"/>
      <c r="Q88" s="1100"/>
    </row>
    <row r="89" spans="1:17" ht="17.100000000000001" customHeight="1" x14ac:dyDescent="0.3">
      <c r="A89" s="5"/>
      <c r="B89" s="1135" t="s">
        <v>73</v>
      </c>
      <c r="C89" s="1136"/>
      <c r="D89" s="1136"/>
      <c r="E89" s="1136"/>
      <c r="F89" s="1136"/>
      <c r="G89" s="1136"/>
      <c r="H89" s="1136"/>
      <c r="I89" s="1136"/>
      <c r="J89" s="1136"/>
      <c r="K89" s="1136"/>
      <c r="L89" s="1136"/>
      <c r="M89" s="1136"/>
      <c r="N89" s="1136"/>
      <c r="O89" s="1136"/>
      <c r="P89" s="1136"/>
      <c r="Q89" s="1137"/>
    </row>
    <row r="90" spans="1:17" s="2" customFormat="1" ht="24" customHeight="1" x14ac:dyDescent="0.25">
      <c r="A90" s="6"/>
      <c r="B90" s="72" t="s">
        <v>74</v>
      </c>
      <c r="C90" s="1106"/>
      <c r="D90" s="1107"/>
      <c r="E90" s="166">
        <v>2595</v>
      </c>
      <c r="F90" s="74">
        <v>2379</v>
      </c>
      <c r="G90" s="75">
        <f>F90+SUM(G91:G92)</f>
        <v>2389</v>
      </c>
      <c r="H90" s="75">
        <f t="shared" ref="H90:Q90" si="11">G90+SUM(H91:H92)</f>
        <v>2332</v>
      </c>
      <c r="I90" s="75">
        <f t="shared" si="11"/>
        <v>2325</v>
      </c>
      <c r="J90" s="75">
        <f t="shared" si="11"/>
        <v>2376</v>
      </c>
      <c r="K90" s="75">
        <f t="shared" si="11"/>
        <v>2472</v>
      </c>
      <c r="L90" s="75">
        <f t="shared" si="11"/>
        <v>2547</v>
      </c>
      <c r="M90" s="75">
        <f t="shared" si="11"/>
        <v>2546</v>
      </c>
      <c r="N90" s="75">
        <f t="shared" si="11"/>
        <v>2545</v>
      </c>
      <c r="O90" s="75">
        <f t="shared" si="11"/>
        <v>2543</v>
      </c>
      <c r="P90" s="75">
        <f t="shared" si="11"/>
        <v>2595</v>
      </c>
      <c r="Q90" s="76">
        <f t="shared" si="11"/>
        <v>2571</v>
      </c>
    </row>
    <row r="91" spans="1:17" s="2" customFormat="1" ht="24" customHeight="1" x14ac:dyDescent="0.25">
      <c r="A91" s="6"/>
      <c r="B91" s="185" t="s">
        <v>32</v>
      </c>
      <c r="C91" s="1106"/>
      <c r="D91" s="1107"/>
      <c r="E91" s="69"/>
      <c r="F91" s="78">
        <v>41</v>
      </c>
      <c r="G91" s="79">
        <v>82</v>
      </c>
      <c r="H91" s="79">
        <v>58</v>
      </c>
      <c r="I91" s="79">
        <v>53</v>
      </c>
      <c r="J91" s="79">
        <v>137</v>
      </c>
      <c r="K91" s="79">
        <v>134</v>
      </c>
      <c r="L91" s="79">
        <v>150</v>
      </c>
      <c r="M91" s="79">
        <v>40</v>
      </c>
      <c r="N91" s="79">
        <v>50</v>
      </c>
      <c r="O91" s="79">
        <v>51</v>
      </c>
      <c r="P91" s="79">
        <v>92</v>
      </c>
      <c r="Q91" s="80">
        <v>64</v>
      </c>
    </row>
    <row r="92" spans="1:17" s="2" customFormat="1" ht="24" customHeight="1" x14ac:dyDescent="0.25">
      <c r="A92" s="6"/>
      <c r="B92" s="185" t="s">
        <v>142</v>
      </c>
      <c r="C92" s="1106"/>
      <c r="D92" s="1107"/>
      <c r="E92" s="69"/>
      <c r="F92" s="78">
        <v>-74</v>
      </c>
      <c r="G92" s="79">
        <v>-72</v>
      </c>
      <c r="H92" s="79">
        <v>-115</v>
      </c>
      <c r="I92" s="79">
        <v>-60</v>
      </c>
      <c r="J92" s="79">
        <v>-86</v>
      </c>
      <c r="K92" s="79">
        <v>-38</v>
      </c>
      <c r="L92" s="79">
        <v>-75</v>
      </c>
      <c r="M92" s="79">
        <v>-41</v>
      </c>
      <c r="N92" s="79">
        <v>-51</v>
      </c>
      <c r="O92" s="79">
        <v>-53</v>
      </c>
      <c r="P92" s="79">
        <v>-40</v>
      </c>
      <c r="Q92" s="80">
        <v>-88</v>
      </c>
    </row>
    <row r="93" spans="1:17" s="2" customFormat="1" ht="24" customHeight="1" x14ac:dyDescent="0.25">
      <c r="A93" s="6"/>
      <c r="B93" s="70" t="s">
        <v>75</v>
      </c>
      <c r="C93" s="1106"/>
      <c r="D93" s="1107"/>
      <c r="E93" s="166">
        <v>647</v>
      </c>
      <c r="F93" s="78">
        <v>1557</v>
      </c>
      <c r="G93" s="79">
        <f>F93+SUM(G94:G95)</f>
        <v>1629</v>
      </c>
      <c r="H93" s="79">
        <f>G93+SUM(G94:G95)</f>
        <v>1701</v>
      </c>
      <c r="I93" s="79">
        <f t="shared" ref="I93:Q93" si="12">H93+SUM(H94:H95)</f>
        <v>1467</v>
      </c>
      <c r="J93" s="79">
        <f t="shared" si="12"/>
        <v>1501</v>
      </c>
      <c r="K93" s="79">
        <f t="shared" si="12"/>
        <v>1254</v>
      </c>
      <c r="L93" s="79">
        <f t="shared" si="12"/>
        <v>841</v>
      </c>
      <c r="M93" s="79">
        <f t="shared" si="12"/>
        <v>895</v>
      </c>
      <c r="N93" s="79">
        <f t="shared" si="12"/>
        <v>865</v>
      </c>
      <c r="O93" s="79">
        <f t="shared" si="12"/>
        <v>612</v>
      </c>
      <c r="P93" s="79">
        <f t="shared" si="12"/>
        <v>647</v>
      </c>
      <c r="Q93" s="80">
        <f t="shared" si="12"/>
        <v>737</v>
      </c>
    </row>
    <row r="94" spans="1:17" s="2" customFormat="1" ht="24" customHeight="1" x14ac:dyDescent="0.25">
      <c r="A94" s="6"/>
      <c r="B94" s="185" t="s">
        <v>32</v>
      </c>
      <c r="C94" s="1106"/>
      <c r="D94" s="1107"/>
      <c r="E94" s="69"/>
      <c r="F94" s="78">
        <v>115</v>
      </c>
      <c r="G94" s="79">
        <v>99</v>
      </c>
      <c r="H94" s="79">
        <v>92</v>
      </c>
      <c r="I94" s="79">
        <v>79</v>
      </c>
      <c r="J94" s="79">
        <v>45</v>
      </c>
      <c r="K94" s="79">
        <v>59</v>
      </c>
      <c r="L94" s="79">
        <v>77</v>
      </c>
      <c r="M94" s="79">
        <v>39</v>
      </c>
      <c r="N94" s="79">
        <v>32</v>
      </c>
      <c r="O94" s="79">
        <v>95</v>
      </c>
      <c r="P94" s="79">
        <v>152</v>
      </c>
      <c r="Q94" s="80">
        <v>118</v>
      </c>
    </row>
    <row r="95" spans="1:17" s="2" customFormat="1" ht="24" customHeight="1" x14ac:dyDescent="0.25">
      <c r="A95" s="6"/>
      <c r="B95" s="188" t="s">
        <v>33</v>
      </c>
      <c r="C95" s="1174"/>
      <c r="D95" s="1175"/>
      <c r="E95" s="69"/>
      <c r="F95" s="81">
        <v>-4</v>
      </c>
      <c r="G95" s="37">
        <v>-27</v>
      </c>
      <c r="H95" s="37">
        <v>-326</v>
      </c>
      <c r="I95" s="37">
        <v>-45</v>
      </c>
      <c r="J95" s="37">
        <v>-292</v>
      </c>
      <c r="K95" s="37">
        <v>-472</v>
      </c>
      <c r="L95" s="37">
        <v>-23</v>
      </c>
      <c r="M95" s="37">
        <v>-69</v>
      </c>
      <c r="N95" s="37">
        <v>-285</v>
      </c>
      <c r="O95" s="37">
        <v>-60</v>
      </c>
      <c r="P95" s="37">
        <v>-62</v>
      </c>
      <c r="Q95" s="38">
        <v>-122</v>
      </c>
    </row>
    <row r="96" spans="1:17" x14ac:dyDescent="0.3">
      <c r="A96" s="5"/>
      <c r="B96" s="1124" t="s">
        <v>76</v>
      </c>
      <c r="C96" s="1125"/>
      <c r="D96" s="1125"/>
      <c r="E96" s="1125"/>
      <c r="F96" s="1125"/>
      <c r="G96" s="1125"/>
      <c r="H96" s="1125"/>
      <c r="I96" s="1125"/>
      <c r="J96" s="1125"/>
      <c r="K96" s="1125"/>
      <c r="L96" s="1125"/>
      <c r="M96" s="1125"/>
      <c r="N96" s="1125"/>
      <c r="O96" s="1125"/>
      <c r="P96" s="1125"/>
      <c r="Q96" s="1126"/>
    </row>
    <row r="97" spans="1:17" s="2" customFormat="1" ht="24" customHeight="1" x14ac:dyDescent="0.25">
      <c r="A97" s="6"/>
      <c r="B97" s="72" t="s">
        <v>77</v>
      </c>
      <c r="C97" s="1138"/>
      <c r="D97" s="1139"/>
      <c r="E97" s="1115"/>
      <c r="F97" s="74">
        <v>47000</v>
      </c>
      <c r="G97" s="75">
        <v>44615</v>
      </c>
      <c r="H97" s="75">
        <v>42036</v>
      </c>
      <c r="I97" s="75">
        <v>43087</v>
      </c>
      <c r="J97" s="75">
        <v>42854</v>
      </c>
      <c r="K97" s="75">
        <v>42656</v>
      </c>
      <c r="L97" s="75">
        <v>42570</v>
      </c>
      <c r="M97" s="75">
        <v>42488</v>
      </c>
      <c r="N97" s="75">
        <v>42065</v>
      </c>
      <c r="O97" s="75">
        <v>42520</v>
      </c>
      <c r="P97" s="195">
        <v>42854</v>
      </c>
      <c r="Q97" s="76">
        <v>43289</v>
      </c>
    </row>
    <row r="98" spans="1:17" s="2" customFormat="1" ht="24" customHeight="1" x14ac:dyDescent="0.25">
      <c r="A98" s="6"/>
      <c r="B98" s="70" t="s">
        <v>78</v>
      </c>
      <c r="C98" s="1138"/>
      <c r="D98" s="1139"/>
      <c r="E98" s="1115"/>
      <c r="F98" s="78">
        <v>21581</v>
      </c>
      <c r="G98" s="79">
        <v>21371</v>
      </c>
      <c r="H98" s="79">
        <v>21625</v>
      </c>
      <c r="I98" s="79">
        <v>22119</v>
      </c>
      <c r="J98" s="79">
        <v>21895</v>
      </c>
      <c r="K98" s="79">
        <v>21673</v>
      </c>
      <c r="L98" s="79">
        <v>21712</v>
      </c>
      <c r="M98" s="79">
        <v>21685</v>
      </c>
      <c r="N98" s="79">
        <v>21429</v>
      </c>
      <c r="O98" s="79">
        <v>21507</v>
      </c>
      <c r="P98" s="195">
        <v>21601</v>
      </c>
      <c r="Q98" s="80">
        <v>21831</v>
      </c>
    </row>
    <row r="99" spans="1:17" s="2" customFormat="1" ht="24" customHeight="1" x14ac:dyDescent="0.25">
      <c r="A99" s="6"/>
      <c r="B99" s="71" t="s">
        <v>79</v>
      </c>
      <c r="C99" s="1138"/>
      <c r="D99" s="1139"/>
      <c r="E99" s="1115"/>
      <c r="F99" s="35" t="s">
        <v>136</v>
      </c>
      <c r="G99" s="36" t="s">
        <v>136</v>
      </c>
      <c r="H99" s="36" t="s">
        <v>136</v>
      </c>
      <c r="I99" s="101">
        <v>4423674</v>
      </c>
      <c r="J99" s="101">
        <v>5644047</v>
      </c>
      <c r="K99" s="101">
        <v>5612542</v>
      </c>
      <c r="L99" s="101">
        <v>6606554</v>
      </c>
      <c r="M99" s="36" t="s">
        <v>136</v>
      </c>
      <c r="N99" s="101">
        <v>4447534</v>
      </c>
      <c r="O99" s="101">
        <v>5513507</v>
      </c>
      <c r="P99" s="101">
        <v>5574820</v>
      </c>
      <c r="Q99" s="102">
        <v>5590745</v>
      </c>
    </row>
    <row r="100" spans="1:17" x14ac:dyDescent="0.3">
      <c r="A100" s="5"/>
      <c r="B100" s="1124" t="s">
        <v>80</v>
      </c>
      <c r="C100" s="1125"/>
      <c r="D100" s="1125"/>
      <c r="E100" s="1125"/>
      <c r="F100" s="1125"/>
      <c r="G100" s="1125"/>
      <c r="H100" s="1125"/>
      <c r="I100" s="1125"/>
      <c r="J100" s="1125"/>
      <c r="K100" s="1125"/>
      <c r="L100" s="1125"/>
      <c r="M100" s="1125"/>
      <c r="N100" s="1125"/>
      <c r="O100" s="1125"/>
      <c r="P100" s="1125"/>
      <c r="Q100" s="1126"/>
    </row>
    <row r="101" spans="1:17" s="2" customFormat="1" ht="24" customHeight="1" x14ac:dyDescent="0.25">
      <c r="A101" s="6"/>
      <c r="B101" s="72" t="s">
        <v>81</v>
      </c>
      <c r="C101" s="1104"/>
      <c r="D101" s="1105"/>
      <c r="E101" s="1151"/>
      <c r="F101" s="24">
        <v>43715</v>
      </c>
      <c r="G101" s="25">
        <v>43693</v>
      </c>
      <c r="H101" s="25">
        <v>43716</v>
      </c>
      <c r="I101" s="25">
        <v>43963</v>
      </c>
      <c r="J101" s="25">
        <v>43871</v>
      </c>
      <c r="K101" s="25">
        <v>46033</v>
      </c>
      <c r="L101" s="25">
        <v>46300</v>
      </c>
      <c r="M101" s="25">
        <v>46208</v>
      </c>
      <c r="N101" s="25">
        <v>42034</v>
      </c>
      <c r="O101" s="25">
        <v>45047</v>
      </c>
      <c r="P101" s="25">
        <v>44340</v>
      </c>
      <c r="Q101" s="26">
        <f>44340+3196-111</f>
        <v>47425</v>
      </c>
    </row>
    <row r="102" spans="1:17" s="2" customFormat="1" ht="24" customHeight="1" x14ac:dyDescent="0.25">
      <c r="A102" s="6"/>
      <c r="B102" s="70" t="s">
        <v>82</v>
      </c>
      <c r="C102" s="1104"/>
      <c r="D102" s="1105"/>
      <c r="E102" s="1151"/>
      <c r="F102" s="43">
        <v>4457</v>
      </c>
      <c r="G102" s="44">
        <v>4481</v>
      </c>
      <c r="H102" s="44">
        <v>4483</v>
      </c>
      <c r="I102" s="44">
        <v>4510</v>
      </c>
      <c r="J102" s="44">
        <v>4517</v>
      </c>
      <c r="K102" s="44">
        <v>2662</v>
      </c>
      <c r="L102" s="44">
        <v>2663</v>
      </c>
      <c r="M102" s="44">
        <v>2656</v>
      </c>
      <c r="N102" s="44">
        <v>2281</v>
      </c>
      <c r="O102" s="44">
        <v>2559</v>
      </c>
      <c r="P102" s="44">
        <v>2506</v>
      </c>
      <c r="Q102" s="45">
        <f>2506+111</f>
        <v>2617</v>
      </c>
    </row>
    <row r="103" spans="1:17" s="2" customFormat="1" ht="36.6" customHeight="1" x14ac:dyDescent="0.25">
      <c r="A103" s="6"/>
      <c r="B103" s="103" t="s">
        <v>137</v>
      </c>
      <c r="C103" s="1104"/>
      <c r="D103" s="1105"/>
      <c r="E103" s="1151"/>
      <c r="F103" s="104">
        <f>SUM(F101:F102)/267587</f>
        <v>0.18002369322874429</v>
      </c>
      <c r="G103" s="105">
        <f t="shared" ref="G103:Q103" si="13">SUM(G101:G102)/267587</f>
        <v>0.18003116743339551</v>
      </c>
      <c r="H103" s="105">
        <f t="shared" si="13"/>
        <v>0.18012459499153546</v>
      </c>
      <c r="I103" s="105">
        <f t="shared" si="13"/>
        <v>0.18114856102874952</v>
      </c>
      <c r="J103" s="105">
        <f t="shared" si="13"/>
        <v>0.18083090733107363</v>
      </c>
      <c r="K103" s="105">
        <f t="shared" si="13"/>
        <v>0.18197819774503246</v>
      </c>
      <c r="L103" s="105">
        <f t="shared" si="13"/>
        <v>0.18297974116829294</v>
      </c>
      <c r="M103" s="105">
        <f t="shared" si="13"/>
        <v>0.18260976803805865</v>
      </c>
      <c r="N103" s="105">
        <f t="shared" si="13"/>
        <v>0.16560968955890981</v>
      </c>
      <c r="O103" s="105">
        <f t="shared" si="13"/>
        <v>0.1779084933124554</v>
      </c>
      <c r="P103" s="105">
        <f t="shared" si="13"/>
        <v>0.17506829554500031</v>
      </c>
      <c r="Q103" s="198">
        <f t="shared" si="13"/>
        <v>0.18701207457761401</v>
      </c>
    </row>
    <row r="104" spans="1:17" x14ac:dyDescent="0.3">
      <c r="A104" s="5"/>
      <c r="B104" s="1124" t="s">
        <v>88</v>
      </c>
      <c r="C104" s="1125"/>
      <c r="D104" s="1125"/>
      <c r="E104" s="1125"/>
      <c r="F104" s="1125"/>
      <c r="G104" s="1125"/>
      <c r="H104" s="1125"/>
      <c r="I104" s="1125"/>
      <c r="J104" s="1125"/>
      <c r="K104" s="1125"/>
      <c r="L104" s="1125"/>
      <c r="M104" s="1125"/>
      <c r="N104" s="1125"/>
      <c r="O104" s="1125"/>
      <c r="P104" s="1125"/>
      <c r="Q104" s="1126"/>
    </row>
    <row r="105" spans="1:17" x14ac:dyDescent="0.3">
      <c r="A105" s="5"/>
      <c r="B105" s="1116" t="s">
        <v>87</v>
      </c>
      <c r="C105" s="1117"/>
      <c r="D105" s="1117"/>
      <c r="E105" s="1117"/>
      <c r="F105" s="1117"/>
      <c r="G105" s="1117"/>
      <c r="H105" s="1117"/>
      <c r="I105" s="1117"/>
      <c r="J105" s="1117"/>
      <c r="K105" s="1117"/>
      <c r="L105" s="1117"/>
      <c r="M105" s="1117"/>
      <c r="N105" s="1117"/>
      <c r="O105" s="1117"/>
      <c r="P105" s="1117"/>
      <c r="Q105" s="1118"/>
    </row>
    <row r="106" spans="1:17" s="2" customFormat="1" ht="24" customHeight="1" x14ac:dyDescent="0.25">
      <c r="A106" s="6"/>
      <c r="B106" s="72" t="s">
        <v>83</v>
      </c>
      <c r="C106" s="1104"/>
      <c r="D106" s="1105"/>
      <c r="E106" s="69"/>
      <c r="F106" s="24">
        <f>SUM(F107:F108)</f>
        <v>544</v>
      </c>
      <c r="G106" s="25">
        <f t="shared" ref="G106:N106" si="14">SUM(G107:G108)</f>
        <v>546</v>
      </c>
      <c r="H106" s="25">
        <f t="shared" si="14"/>
        <v>547</v>
      </c>
      <c r="I106" s="25">
        <f t="shared" si="14"/>
        <v>536</v>
      </c>
      <c r="J106" s="25">
        <f t="shared" si="14"/>
        <v>535</v>
      </c>
      <c r="K106" s="25">
        <f t="shared" si="14"/>
        <v>527</v>
      </c>
      <c r="L106" s="25">
        <f t="shared" si="14"/>
        <v>508</v>
      </c>
      <c r="M106" s="25">
        <f t="shared" si="14"/>
        <v>468</v>
      </c>
      <c r="N106" s="25">
        <f t="shared" si="14"/>
        <v>441</v>
      </c>
      <c r="O106" s="25">
        <f>SUM(O107:O108)</f>
        <v>413</v>
      </c>
      <c r="P106" s="25">
        <f>SUM(P107:P108)</f>
        <v>402</v>
      </c>
      <c r="Q106" s="26">
        <v>383</v>
      </c>
    </row>
    <row r="107" spans="1:17" s="2" customFormat="1" ht="24" customHeight="1" x14ac:dyDescent="0.25">
      <c r="A107" s="6"/>
      <c r="B107" s="185" t="s">
        <v>84</v>
      </c>
      <c r="C107" s="1104"/>
      <c r="D107" s="1105"/>
      <c r="E107" s="69"/>
      <c r="F107" s="43">
        <v>456</v>
      </c>
      <c r="G107" s="44">
        <v>442</v>
      </c>
      <c r="H107" s="44">
        <v>433</v>
      </c>
      <c r="I107" s="44">
        <v>428</v>
      </c>
      <c r="J107" s="44">
        <v>427</v>
      </c>
      <c r="K107" s="44">
        <v>417</v>
      </c>
      <c r="L107" s="44">
        <v>411</v>
      </c>
      <c r="M107" s="44">
        <v>395</v>
      </c>
      <c r="N107" s="44">
        <v>385</v>
      </c>
      <c r="O107" s="44">
        <v>374</v>
      </c>
      <c r="P107" s="44">
        <v>372</v>
      </c>
      <c r="Q107" s="45">
        <v>359</v>
      </c>
    </row>
    <row r="108" spans="1:17" s="2" customFormat="1" ht="24" customHeight="1" x14ac:dyDescent="0.25">
      <c r="A108" s="6"/>
      <c r="B108" s="185" t="s">
        <v>85</v>
      </c>
      <c r="C108" s="1104"/>
      <c r="D108" s="1105"/>
      <c r="E108" s="69"/>
      <c r="F108" s="43">
        <v>88</v>
      </c>
      <c r="G108" s="44">
        <v>104</v>
      </c>
      <c r="H108" s="44">
        <v>114</v>
      </c>
      <c r="I108" s="44">
        <v>108</v>
      </c>
      <c r="J108" s="44">
        <v>108</v>
      </c>
      <c r="K108" s="44">
        <v>110</v>
      </c>
      <c r="L108" s="44">
        <v>97</v>
      </c>
      <c r="M108" s="44">
        <v>73</v>
      </c>
      <c r="N108" s="44">
        <v>56</v>
      </c>
      <c r="O108" s="44">
        <v>39</v>
      </c>
      <c r="P108" s="44">
        <v>30</v>
      </c>
      <c r="Q108" s="45">
        <v>24</v>
      </c>
    </row>
    <row r="109" spans="1:17" s="2" customFormat="1" ht="24" customHeight="1" x14ac:dyDescent="0.25">
      <c r="A109" s="6"/>
      <c r="B109" s="71" t="s">
        <v>86</v>
      </c>
      <c r="C109" s="1104"/>
      <c r="D109" s="1105"/>
      <c r="E109" s="69"/>
      <c r="F109" s="106">
        <v>115648</v>
      </c>
      <c r="G109" s="107">
        <v>114162</v>
      </c>
      <c r="H109" s="107">
        <v>116263</v>
      </c>
      <c r="I109" s="107">
        <v>113270</v>
      </c>
      <c r="J109" s="107">
        <v>113789</v>
      </c>
      <c r="K109" s="107">
        <v>112114</v>
      </c>
      <c r="L109" s="107">
        <v>107553</v>
      </c>
      <c r="M109" s="107">
        <v>98172</v>
      </c>
      <c r="N109" s="107">
        <f>272+91084</f>
        <v>91356</v>
      </c>
      <c r="O109" s="108">
        <f>272+84405</f>
        <v>84677</v>
      </c>
      <c r="P109" s="107">
        <f>272+81551</f>
        <v>81823</v>
      </c>
      <c r="Q109" s="197">
        <v>78148</v>
      </c>
    </row>
    <row r="110" spans="1:17" x14ac:dyDescent="0.3">
      <c r="A110" s="5"/>
      <c r="B110" s="1116" t="s">
        <v>89</v>
      </c>
      <c r="C110" s="1117"/>
      <c r="D110" s="1117"/>
      <c r="E110" s="1117"/>
      <c r="F110" s="1117"/>
      <c r="G110" s="1117"/>
      <c r="H110" s="1117"/>
      <c r="I110" s="1117"/>
      <c r="J110" s="1117"/>
      <c r="K110" s="1117"/>
      <c r="L110" s="1117"/>
      <c r="M110" s="1117"/>
      <c r="N110" s="1117"/>
      <c r="O110" s="1117"/>
      <c r="P110" s="1117"/>
      <c r="Q110" s="1118"/>
    </row>
    <row r="111" spans="1:17" s="2" customFormat="1" ht="24" customHeight="1" x14ac:dyDescent="0.25">
      <c r="A111" s="6"/>
      <c r="B111" s="72" t="s">
        <v>90</v>
      </c>
      <c r="C111" s="1104"/>
      <c r="D111" s="1105"/>
      <c r="E111" s="69"/>
      <c r="F111" s="24">
        <v>494</v>
      </c>
      <c r="G111" s="25">
        <v>430</v>
      </c>
      <c r="H111" s="25">
        <v>365</v>
      </c>
      <c r="I111" s="25">
        <v>480</v>
      </c>
      <c r="J111" s="25">
        <v>378</v>
      </c>
      <c r="K111" s="25">
        <v>336</v>
      </c>
      <c r="L111" s="25">
        <v>370</v>
      </c>
      <c r="M111" s="25">
        <v>394</v>
      </c>
      <c r="N111" s="25">
        <v>386</v>
      </c>
      <c r="O111" s="25">
        <v>460</v>
      </c>
      <c r="P111" s="25">
        <v>439</v>
      </c>
      <c r="Q111" s="26">
        <v>442</v>
      </c>
    </row>
    <row r="112" spans="1:17" s="2" customFormat="1" ht="39.6" customHeight="1" x14ac:dyDescent="0.25">
      <c r="A112" s="6"/>
      <c r="B112" s="109" t="s">
        <v>91</v>
      </c>
      <c r="C112" s="1140"/>
      <c r="D112" s="1141"/>
      <c r="E112" s="69"/>
      <c r="F112" s="110">
        <v>0.5</v>
      </c>
      <c r="G112" s="111">
        <v>0.63</v>
      </c>
      <c r="H112" s="111">
        <v>0.75</v>
      </c>
      <c r="I112" s="111">
        <v>0.67</v>
      </c>
      <c r="J112" s="111">
        <v>1</v>
      </c>
      <c r="K112" s="111">
        <v>1</v>
      </c>
      <c r="L112" s="111">
        <v>0.7</v>
      </c>
      <c r="M112" s="111">
        <v>0.82</v>
      </c>
      <c r="N112" s="111">
        <v>1</v>
      </c>
      <c r="O112" s="111">
        <v>0.67</v>
      </c>
      <c r="P112" s="196">
        <v>1</v>
      </c>
      <c r="Q112" s="199" t="s">
        <v>136</v>
      </c>
    </row>
    <row r="113" spans="1:17" s="2" customFormat="1" ht="24" customHeight="1" x14ac:dyDescent="0.25">
      <c r="A113" s="6"/>
      <c r="B113" s="71" t="s">
        <v>92</v>
      </c>
      <c r="C113" s="1140"/>
      <c r="D113" s="1141"/>
      <c r="E113" s="69"/>
      <c r="F113" s="113">
        <v>0.56520000000000004</v>
      </c>
      <c r="G113" s="114">
        <v>0.67900000000000005</v>
      </c>
      <c r="H113" s="114">
        <v>0.49020000000000002</v>
      </c>
      <c r="I113" s="114">
        <v>0.44440000000000002</v>
      </c>
      <c r="J113" s="114">
        <v>0.58750000000000002</v>
      </c>
      <c r="K113" s="114">
        <v>0.63100000000000001</v>
      </c>
      <c r="L113" s="114">
        <v>0.6</v>
      </c>
      <c r="M113" s="114">
        <v>0.46429999999999999</v>
      </c>
      <c r="N113" s="114">
        <v>0.51219999999999999</v>
      </c>
      <c r="O113" s="114">
        <v>0.48570000000000002</v>
      </c>
      <c r="P113" s="196">
        <v>0.38100000000000001</v>
      </c>
      <c r="Q113" s="199" t="s">
        <v>136</v>
      </c>
    </row>
    <row r="114" spans="1:17" s="2" customFormat="1" ht="24" customHeight="1" x14ac:dyDescent="0.25">
      <c r="A114" s="6"/>
      <c r="B114" s="70" t="s">
        <v>132</v>
      </c>
      <c r="C114" s="73">
        <v>121</v>
      </c>
      <c r="D114" s="116">
        <v>100</v>
      </c>
      <c r="E114" s="169">
        <f>SUM(F114:Q114)</f>
        <v>83</v>
      </c>
      <c r="F114" s="117">
        <v>10</v>
      </c>
      <c r="G114" s="79">
        <v>15</v>
      </c>
      <c r="H114" s="79">
        <v>11</v>
      </c>
      <c r="I114" s="79">
        <v>9</v>
      </c>
      <c r="J114" s="79">
        <v>11</v>
      </c>
      <c r="K114" s="79">
        <v>10</v>
      </c>
      <c r="L114" s="79">
        <v>9</v>
      </c>
      <c r="M114" s="79">
        <v>4</v>
      </c>
      <c r="N114" s="79">
        <v>3</v>
      </c>
      <c r="O114" s="79">
        <v>0</v>
      </c>
      <c r="P114" s="195">
        <v>1</v>
      </c>
      <c r="Q114" s="199" t="s">
        <v>136</v>
      </c>
    </row>
    <row r="115" spans="1:17" s="2" customFormat="1" ht="24" customHeight="1" x14ac:dyDescent="0.25">
      <c r="A115" s="6"/>
      <c r="B115" s="118" t="s">
        <v>133</v>
      </c>
      <c r="C115" s="119">
        <v>132</v>
      </c>
      <c r="D115" s="120">
        <v>93</v>
      </c>
      <c r="E115" s="170">
        <f>SUM(F115:Q115)</f>
        <v>49</v>
      </c>
      <c r="F115" s="121">
        <v>3</v>
      </c>
      <c r="G115" s="122">
        <v>5</v>
      </c>
      <c r="H115" s="122">
        <v>3</v>
      </c>
      <c r="I115" s="122">
        <v>6</v>
      </c>
      <c r="J115" s="122">
        <v>2</v>
      </c>
      <c r="K115" s="122">
        <v>5</v>
      </c>
      <c r="L115" s="122">
        <v>7</v>
      </c>
      <c r="M115" s="122">
        <v>9</v>
      </c>
      <c r="N115" s="122">
        <v>7</v>
      </c>
      <c r="O115" s="122">
        <v>2</v>
      </c>
      <c r="P115" s="36" t="s">
        <v>136</v>
      </c>
      <c r="Q115" s="200" t="s">
        <v>136</v>
      </c>
    </row>
    <row r="116" spans="1:17" x14ac:dyDescent="0.3">
      <c r="A116" s="5"/>
      <c r="B116" s="1098" t="s">
        <v>93</v>
      </c>
      <c r="C116" s="1099"/>
      <c r="D116" s="1099"/>
      <c r="E116" s="1099"/>
      <c r="F116" s="1099"/>
      <c r="G116" s="1099"/>
      <c r="H116" s="1099"/>
      <c r="I116" s="1099"/>
      <c r="J116" s="1099"/>
      <c r="K116" s="1099"/>
      <c r="L116" s="1099"/>
      <c r="M116" s="1099"/>
      <c r="N116" s="1099"/>
      <c r="O116" s="1099"/>
      <c r="P116" s="1099"/>
      <c r="Q116" s="1100"/>
    </row>
    <row r="117" spans="1:17" x14ac:dyDescent="0.3">
      <c r="A117" s="5"/>
      <c r="B117" s="1124" t="s">
        <v>94</v>
      </c>
      <c r="C117" s="1125"/>
      <c r="D117" s="1125"/>
      <c r="E117" s="1125"/>
      <c r="F117" s="1125"/>
      <c r="G117" s="1125"/>
      <c r="H117" s="1125"/>
      <c r="I117" s="1125"/>
      <c r="J117" s="1125"/>
      <c r="K117" s="1125"/>
      <c r="L117" s="1125"/>
      <c r="M117" s="1125"/>
      <c r="N117" s="1125"/>
      <c r="O117" s="1125"/>
      <c r="P117" s="1125"/>
      <c r="Q117" s="1126"/>
    </row>
    <row r="118" spans="1:17" s="2" customFormat="1" ht="24" customHeight="1" x14ac:dyDescent="0.25">
      <c r="A118" s="6"/>
      <c r="B118" s="72" t="s">
        <v>125</v>
      </c>
      <c r="C118" s="124">
        <f>SUM(C119:C124)</f>
        <v>442856.95999999996</v>
      </c>
      <c r="D118" s="125">
        <f>SUM(D119:D124)</f>
        <v>469349.72</v>
      </c>
      <c r="E118" s="192">
        <f>SUM(F118:Q118)</f>
        <v>448295.68000000005</v>
      </c>
      <c r="F118" s="126">
        <f>SUM(F119:F124)</f>
        <v>21724.94</v>
      </c>
      <c r="G118" s="127">
        <f t="shared" ref="G118:O118" si="15">SUM(G119:G124)</f>
        <v>25059.670000000002</v>
      </c>
      <c r="H118" s="127">
        <f t="shared" si="15"/>
        <v>21173.25</v>
      </c>
      <c r="I118" s="127">
        <f t="shared" si="15"/>
        <v>22966.35</v>
      </c>
      <c r="J118" s="127">
        <f t="shared" si="15"/>
        <v>28905.48</v>
      </c>
      <c r="K118" s="127">
        <f t="shared" si="15"/>
        <v>30627.17</v>
      </c>
      <c r="L118" s="127">
        <f t="shared" si="15"/>
        <v>25416.32</v>
      </c>
      <c r="M118" s="127">
        <f t="shared" si="15"/>
        <v>71482.39</v>
      </c>
      <c r="N118" s="127">
        <f t="shared" si="15"/>
        <v>91558.48000000001</v>
      </c>
      <c r="O118" s="127">
        <f t="shared" si="15"/>
        <v>53461.630000000005</v>
      </c>
      <c r="P118" s="127">
        <f>SUM(P119:P124)</f>
        <v>30469</v>
      </c>
      <c r="Q118" s="128">
        <v>25451</v>
      </c>
    </row>
    <row r="119" spans="1:17" s="2" customFormat="1" ht="24" customHeight="1" x14ac:dyDescent="0.25">
      <c r="A119" s="6"/>
      <c r="B119" s="191" t="s">
        <v>126</v>
      </c>
      <c r="C119" s="124">
        <v>12669.35</v>
      </c>
      <c r="D119" s="125">
        <v>10844.3</v>
      </c>
      <c r="E119" s="192">
        <f t="shared" ref="E119:E124" si="16">SUM(F119:Q119)</f>
        <v>8289.82</v>
      </c>
      <c r="F119" s="126">
        <v>50</v>
      </c>
      <c r="G119" s="127">
        <v>50</v>
      </c>
      <c r="H119" s="127">
        <v>50</v>
      </c>
      <c r="I119" s="127">
        <v>50</v>
      </c>
      <c r="J119" s="127">
        <v>50</v>
      </c>
      <c r="K119" s="127">
        <v>100</v>
      </c>
      <c r="L119" s="127">
        <v>127</v>
      </c>
      <c r="M119" s="127">
        <v>100</v>
      </c>
      <c r="N119" s="127">
        <v>4259.22</v>
      </c>
      <c r="O119" s="127">
        <v>959.6</v>
      </c>
      <c r="P119" s="127">
        <v>1708</v>
      </c>
      <c r="Q119" s="128">
        <v>786</v>
      </c>
    </row>
    <row r="120" spans="1:17" s="2" customFormat="1" ht="24" customHeight="1" x14ac:dyDescent="0.25">
      <c r="A120" s="6"/>
      <c r="B120" s="185" t="s">
        <v>127</v>
      </c>
      <c r="C120" s="130">
        <v>396493.15</v>
      </c>
      <c r="D120" s="131">
        <v>443002.13</v>
      </c>
      <c r="E120" s="193">
        <f t="shared" si="16"/>
        <v>406980.83999999997</v>
      </c>
      <c r="F120" s="132">
        <v>20225.8</v>
      </c>
      <c r="G120" s="133">
        <v>22995.77</v>
      </c>
      <c r="H120" s="133">
        <v>20183.25</v>
      </c>
      <c r="I120" s="133">
        <v>21890.35</v>
      </c>
      <c r="J120" s="133">
        <v>23795.439999999999</v>
      </c>
      <c r="K120" s="133">
        <v>29287.17</v>
      </c>
      <c r="L120" s="133">
        <v>23423.32</v>
      </c>
      <c r="M120" s="133">
        <v>68543.39</v>
      </c>
      <c r="N120" s="134">
        <v>82329.05</v>
      </c>
      <c r="O120" s="133">
        <v>45109.3</v>
      </c>
      <c r="P120" s="133">
        <v>25508</v>
      </c>
      <c r="Q120" s="135">
        <v>23690</v>
      </c>
    </row>
    <row r="121" spans="1:17" s="2" customFormat="1" ht="24" customHeight="1" x14ac:dyDescent="0.25">
      <c r="A121" s="6"/>
      <c r="B121" s="185" t="s">
        <v>128</v>
      </c>
      <c r="C121" s="130">
        <v>11608.73</v>
      </c>
      <c r="D121" s="131">
        <v>9700.2900000000009</v>
      </c>
      <c r="E121" s="193">
        <f t="shared" si="16"/>
        <v>17108.560000000001</v>
      </c>
      <c r="F121" s="132">
        <v>569.14</v>
      </c>
      <c r="G121" s="133">
        <v>1563.9</v>
      </c>
      <c r="H121" s="133">
        <v>715</v>
      </c>
      <c r="I121" s="133">
        <v>895</v>
      </c>
      <c r="J121" s="133">
        <v>681</v>
      </c>
      <c r="K121" s="133">
        <v>1115</v>
      </c>
      <c r="L121" s="133">
        <v>730</v>
      </c>
      <c r="M121" s="133">
        <v>700</v>
      </c>
      <c r="N121" s="133">
        <v>4870.21</v>
      </c>
      <c r="O121" s="133">
        <v>2450.73</v>
      </c>
      <c r="P121" s="133">
        <v>1994</v>
      </c>
      <c r="Q121" s="135">
        <v>824.58</v>
      </c>
    </row>
    <row r="122" spans="1:17" s="2" customFormat="1" ht="24" customHeight="1" x14ac:dyDescent="0.25">
      <c r="A122" s="6"/>
      <c r="B122" s="185" t="s">
        <v>129</v>
      </c>
      <c r="C122" s="130">
        <v>20892.73</v>
      </c>
      <c r="D122" s="131">
        <v>5415</v>
      </c>
      <c r="E122" s="193">
        <f t="shared" si="16"/>
        <v>10097</v>
      </c>
      <c r="F122" s="132">
        <v>643</v>
      </c>
      <c r="G122" s="133">
        <v>425</v>
      </c>
      <c r="H122" s="133">
        <v>125</v>
      </c>
      <c r="I122" s="133">
        <v>125</v>
      </c>
      <c r="J122" s="133">
        <v>499</v>
      </c>
      <c r="K122" s="133">
        <v>125</v>
      </c>
      <c r="L122" s="133">
        <v>1136</v>
      </c>
      <c r="M122" s="133">
        <v>2089</v>
      </c>
      <c r="N122" s="133">
        <v>100</v>
      </c>
      <c r="O122" s="133">
        <v>3421</v>
      </c>
      <c r="P122" s="133">
        <v>1259</v>
      </c>
      <c r="Q122" s="135">
        <v>150</v>
      </c>
    </row>
    <row r="123" spans="1:17" s="2" customFormat="1" ht="24" customHeight="1" x14ac:dyDescent="0.25">
      <c r="A123" s="6"/>
      <c r="B123" s="185" t="s">
        <v>130</v>
      </c>
      <c r="C123" s="130">
        <v>647</v>
      </c>
      <c r="D123" s="131">
        <v>140</v>
      </c>
      <c r="E123" s="193">
        <f t="shared" si="16"/>
        <v>5526.04</v>
      </c>
      <c r="F123" s="132">
        <v>0</v>
      </c>
      <c r="G123" s="133">
        <v>25</v>
      </c>
      <c r="H123" s="133">
        <v>50</v>
      </c>
      <c r="I123" s="133">
        <v>0</v>
      </c>
      <c r="J123" s="133">
        <v>3880.04</v>
      </c>
      <c r="K123" s="133">
        <v>0</v>
      </c>
      <c r="L123" s="133">
        <v>0</v>
      </c>
      <c r="M123" s="133">
        <v>50</v>
      </c>
      <c r="N123" s="133">
        <v>0</v>
      </c>
      <c r="O123" s="133">
        <v>1521</v>
      </c>
      <c r="P123" s="133">
        <v>0</v>
      </c>
      <c r="Q123" s="135">
        <v>0</v>
      </c>
    </row>
    <row r="124" spans="1:17" s="2" customFormat="1" ht="24" customHeight="1" x14ac:dyDescent="0.25">
      <c r="A124" s="6"/>
      <c r="B124" s="188" t="s">
        <v>131</v>
      </c>
      <c r="C124" s="136">
        <v>546</v>
      </c>
      <c r="D124" s="137">
        <v>248</v>
      </c>
      <c r="E124" s="194">
        <f t="shared" si="16"/>
        <v>293</v>
      </c>
      <c r="F124" s="138">
        <v>237</v>
      </c>
      <c r="G124" s="139">
        <v>0</v>
      </c>
      <c r="H124" s="139">
        <v>50</v>
      </c>
      <c r="I124" s="139">
        <v>6</v>
      </c>
      <c r="J124" s="139">
        <v>0</v>
      </c>
      <c r="K124" s="139">
        <v>0</v>
      </c>
      <c r="L124" s="139">
        <v>0</v>
      </c>
      <c r="M124" s="139">
        <v>0</v>
      </c>
      <c r="N124" s="139">
        <v>0</v>
      </c>
      <c r="O124" s="139">
        <v>0</v>
      </c>
      <c r="P124" s="139">
        <v>0</v>
      </c>
      <c r="Q124" s="140">
        <v>0</v>
      </c>
    </row>
    <row r="125" spans="1:17" x14ac:dyDescent="0.3">
      <c r="A125" s="5"/>
      <c r="B125" s="1124" t="s">
        <v>95</v>
      </c>
      <c r="C125" s="1125"/>
      <c r="D125" s="1125"/>
      <c r="E125" s="1125"/>
      <c r="F125" s="1125"/>
      <c r="G125" s="1125"/>
      <c r="H125" s="1125"/>
      <c r="I125" s="1125"/>
      <c r="J125" s="1125"/>
      <c r="K125" s="1125"/>
      <c r="L125" s="1125"/>
      <c r="M125" s="1125"/>
      <c r="N125" s="1125"/>
      <c r="O125" s="1125"/>
      <c r="P125" s="1125"/>
      <c r="Q125" s="1126"/>
    </row>
    <row r="126" spans="1:17" s="2" customFormat="1" ht="24" customHeight="1" x14ac:dyDescent="0.25">
      <c r="A126" s="6"/>
      <c r="B126" s="72" t="s">
        <v>96</v>
      </c>
      <c r="C126" s="73">
        <f>SUM(C127:C128)</f>
        <v>88776</v>
      </c>
      <c r="D126" s="40">
        <f>SUM(D127:D128)</f>
        <v>111125</v>
      </c>
      <c r="E126" s="159">
        <f>SUM(F126:Q126)</f>
        <v>106647</v>
      </c>
      <c r="F126" s="74">
        <f>SUM(F127:F128)</f>
        <v>10394</v>
      </c>
      <c r="G126" s="75">
        <f t="shared" ref="G126:O126" si="17">SUM(G127:G128)</f>
        <v>12097</v>
      </c>
      <c r="H126" s="75">
        <f t="shared" si="17"/>
        <v>11434</v>
      </c>
      <c r="I126" s="75">
        <f t="shared" si="17"/>
        <v>8170</v>
      </c>
      <c r="J126" s="75">
        <f t="shared" si="17"/>
        <v>7325</v>
      </c>
      <c r="K126" s="75">
        <f t="shared" si="17"/>
        <v>7368</v>
      </c>
      <c r="L126" s="75">
        <f t="shared" si="17"/>
        <v>8892</v>
      </c>
      <c r="M126" s="75">
        <f t="shared" si="17"/>
        <v>7825</v>
      </c>
      <c r="N126" s="75">
        <f t="shared" si="17"/>
        <v>8791</v>
      </c>
      <c r="O126" s="75">
        <f t="shared" si="17"/>
        <v>8670</v>
      </c>
      <c r="P126" s="25">
        <f>SUM(P127:P128)</f>
        <v>8334</v>
      </c>
      <c r="Q126" s="26">
        <f>SUM(Q127:Q128)</f>
        <v>7347</v>
      </c>
    </row>
    <row r="127" spans="1:17" s="2" customFormat="1" ht="24" customHeight="1" x14ac:dyDescent="0.25">
      <c r="A127" s="6"/>
      <c r="B127" s="191" t="s">
        <v>97</v>
      </c>
      <c r="C127" s="73">
        <v>86686</v>
      </c>
      <c r="D127" s="40">
        <v>109165</v>
      </c>
      <c r="E127" s="159">
        <f>SUM(F127:Q127)</f>
        <v>98076</v>
      </c>
      <c r="F127" s="74">
        <v>9954</v>
      </c>
      <c r="G127" s="75">
        <v>11256</v>
      </c>
      <c r="H127" s="75">
        <v>10701</v>
      </c>
      <c r="I127" s="75">
        <v>7559</v>
      </c>
      <c r="J127" s="75">
        <v>6658</v>
      </c>
      <c r="K127" s="75">
        <v>6680</v>
      </c>
      <c r="L127" s="75">
        <v>8183</v>
      </c>
      <c r="M127" s="75">
        <v>6817</v>
      </c>
      <c r="N127" s="75">
        <v>7921</v>
      </c>
      <c r="O127" s="75">
        <v>7890</v>
      </c>
      <c r="P127" s="25">
        <f>1795+3+3131-1004-18+560+264+1811-1018+220+594+18+44+3+703+664</f>
        <v>7770</v>
      </c>
      <c r="Q127" s="26">
        <f>1841+2+226+659+500+249+133+563+322+280+1+29+37+57+123+90+11+57+822+685</f>
        <v>6687</v>
      </c>
    </row>
    <row r="128" spans="1:17" s="2" customFormat="1" ht="24" customHeight="1" x14ac:dyDescent="0.25">
      <c r="A128" s="6"/>
      <c r="B128" s="185" t="s">
        <v>134</v>
      </c>
      <c r="C128" s="77">
        <v>2090</v>
      </c>
      <c r="D128" s="42">
        <v>1960</v>
      </c>
      <c r="E128" s="163">
        <f>SUM(F128:Q128)</f>
        <v>8571</v>
      </c>
      <c r="F128" s="78">
        <v>440</v>
      </c>
      <c r="G128" s="79">
        <v>841</v>
      </c>
      <c r="H128" s="79">
        <v>733</v>
      </c>
      <c r="I128" s="79">
        <v>611</v>
      </c>
      <c r="J128" s="79">
        <v>667</v>
      </c>
      <c r="K128" s="79">
        <v>688</v>
      </c>
      <c r="L128" s="79">
        <v>709</v>
      </c>
      <c r="M128" s="79">
        <v>1008</v>
      </c>
      <c r="N128" s="79">
        <v>870</v>
      </c>
      <c r="O128" s="79">
        <v>780</v>
      </c>
      <c r="P128" s="44">
        <v>564</v>
      </c>
      <c r="Q128" s="45">
        <v>660</v>
      </c>
    </row>
    <row r="129" spans="1:17" s="2" customFormat="1" ht="24" customHeight="1" x14ac:dyDescent="0.25">
      <c r="A129" s="6"/>
      <c r="B129" s="70" t="s">
        <v>135</v>
      </c>
      <c r="C129" s="77">
        <v>247419</v>
      </c>
      <c r="D129" s="42">
        <v>240842</v>
      </c>
      <c r="E129" s="163">
        <f>SUM(F129:Q129)</f>
        <v>191755</v>
      </c>
      <c r="F129" s="78">
        <v>22439</v>
      </c>
      <c r="G129" s="79">
        <v>18089</v>
      </c>
      <c r="H129" s="79">
        <v>15141</v>
      </c>
      <c r="I129" s="79">
        <v>17102</v>
      </c>
      <c r="J129" s="79">
        <v>13557</v>
      </c>
      <c r="K129" s="79">
        <v>15338</v>
      </c>
      <c r="L129" s="79">
        <v>17859</v>
      </c>
      <c r="M129" s="79">
        <v>13943</v>
      </c>
      <c r="N129" s="79">
        <v>14923</v>
      </c>
      <c r="O129" s="79">
        <v>13909</v>
      </c>
      <c r="P129" s="44">
        <v>14772</v>
      </c>
      <c r="Q129" s="45">
        <v>14683</v>
      </c>
    </row>
    <row r="130" spans="1:17" s="2" customFormat="1" ht="24" customHeight="1" x14ac:dyDescent="0.25">
      <c r="A130" s="6"/>
      <c r="B130" s="185" t="s">
        <v>98</v>
      </c>
      <c r="C130" s="77">
        <v>243047</v>
      </c>
      <c r="D130" s="42">
        <v>238600</v>
      </c>
      <c r="E130" s="163">
        <f>SUM(F130:Q130)</f>
        <v>190196</v>
      </c>
      <c r="F130" s="81">
        <v>22253</v>
      </c>
      <c r="G130" s="37">
        <v>17923</v>
      </c>
      <c r="H130" s="37">
        <v>15003</v>
      </c>
      <c r="I130" s="37">
        <v>16949</v>
      </c>
      <c r="J130" s="37">
        <v>13446</v>
      </c>
      <c r="K130" s="37">
        <v>15198</v>
      </c>
      <c r="L130" s="37">
        <v>17713</v>
      </c>
      <c r="M130" s="37">
        <v>13855</v>
      </c>
      <c r="N130" s="37">
        <v>14807</v>
      </c>
      <c r="O130" s="37">
        <v>13803</v>
      </c>
      <c r="P130" s="31">
        <v>14657</v>
      </c>
      <c r="Q130" s="32">
        <v>14589</v>
      </c>
    </row>
    <row r="131" spans="1:17" s="2" customFormat="1" ht="24" customHeight="1" x14ac:dyDescent="0.25">
      <c r="A131" s="6"/>
      <c r="B131" s="188" t="s">
        <v>118</v>
      </c>
      <c r="C131" s="141">
        <f>C130/C129</f>
        <v>0.98232957048569436</v>
      </c>
      <c r="D131" s="142">
        <f>D130/D129</f>
        <v>0.99069099243487435</v>
      </c>
      <c r="E131" s="174">
        <f>E130/E129</f>
        <v>0.99186983390263617</v>
      </c>
      <c r="F131" s="113">
        <f t="shared" ref="F131:Q131" si="18">F130/F129</f>
        <v>0.99171086055528324</v>
      </c>
      <c r="G131" s="114">
        <f t="shared" si="18"/>
        <v>0.99082315219193984</v>
      </c>
      <c r="H131" s="114">
        <f t="shared" si="18"/>
        <v>0.99088567465821276</v>
      </c>
      <c r="I131" s="114">
        <f t="shared" si="18"/>
        <v>0.99105367793240562</v>
      </c>
      <c r="J131" s="114">
        <f t="shared" si="18"/>
        <v>0.99181234786457184</v>
      </c>
      <c r="K131" s="114">
        <f t="shared" si="18"/>
        <v>0.9908723431998957</v>
      </c>
      <c r="L131" s="114">
        <f t="shared" si="18"/>
        <v>0.99182485021557754</v>
      </c>
      <c r="M131" s="114">
        <f t="shared" si="18"/>
        <v>0.99368858925625758</v>
      </c>
      <c r="N131" s="114">
        <f t="shared" si="18"/>
        <v>0.99222676405548482</v>
      </c>
      <c r="O131" s="114">
        <f t="shared" si="18"/>
        <v>0.99237903515709258</v>
      </c>
      <c r="P131" s="114">
        <f t="shared" si="18"/>
        <v>0.99221500135391283</v>
      </c>
      <c r="Q131" s="115">
        <f t="shared" si="18"/>
        <v>0.99359803854798068</v>
      </c>
    </row>
    <row r="132" spans="1:17" x14ac:dyDescent="0.3">
      <c r="A132" s="5"/>
      <c r="B132" s="1124" t="s">
        <v>99</v>
      </c>
      <c r="C132" s="1125"/>
      <c r="D132" s="1125"/>
      <c r="E132" s="1125"/>
      <c r="F132" s="1125"/>
      <c r="G132" s="1125"/>
      <c r="H132" s="1125"/>
      <c r="I132" s="1125"/>
      <c r="J132" s="1125"/>
      <c r="K132" s="1125"/>
      <c r="L132" s="1125"/>
      <c r="M132" s="1125"/>
      <c r="N132" s="1125"/>
      <c r="O132" s="1125"/>
      <c r="P132" s="1125"/>
      <c r="Q132" s="1126"/>
    </row>
    <row r="133" spans="1:17" s="2" customFormat="1" ht="24" customHeight="1" x14ac:dyDescent="0.25">
      <c r="A133" s="6"/>
      <c r="B133" s="72" t="s">
        <v>106</v>
      </c>
      <c r="C133" s="61">
        <f>SUM(C134:C139)</f>
        <v>1882</v>
      </c>
      <c r="D133" s="62">
        <f>SUM(D134:D139)</f>
        <v>2427</v>
      </c>
      <c r="E133" s="161">
        <f>SUM(F133:Q133)</f>
        <v>2619</v>
      </c>
      <c r="F133" s="24">
        <f>SUM(F134:F139)</f>
        <v>132</v>
      </c>
      <c r="G133" s="25">
        <f t="shared" ref="G133:O133" si="19">SUM(G134:G139)</f>
        <v>182</v>
      </c>
      <c r="H133" s="25">
        <f t="shared" si="19"/>
        <v>107</v>
      </c>
      <c r="I133" s="25">
        <f t="shared" si="19"/>
        <v>161</v>
      </c>
      <c r="J133" s="25">
        <f t="shared" si="19"/>
        <v>124</v>
      </c>
      <c r="K133" s="25">
        <f t="shared" si="19"/>
        <v>158</v>
      </c>
      <c r="L133" s="25">
        <f t="shared" si="19"/>
        <v>169</v>
      </c>
      <c r="M133" s="25">
        <f t="shared" si="19"/>
        <v>625</v>
      </c>
      <c r="N133" s="25">
        <f t="shared" si="19"/>
        <v>536</v>
      </c>
      <c r="O133" s="25">
        <f t="shared" si="19"/>
        <v>274</v>
      </c>
      <c r="P133" s="25">
        <f>SUM(P134:P139)</f>
        <v>64</v>
      </c>
      <c r="Q133" s="143">
        <f>SUM(Q134:Q139)</f>
        <v>87</v>
      </c>
    </row>
    <row r="134" spans="1:17" s="2" customFormat="1" ht="36" customHeight="1" x14ac:dyDescent="0.25">
      <c r="A134" s="6"/>
      <c r="B134" s="183" t="s">
        <v>100</v>
      </c>
      <c r="C134" s="51">
        <v>564</v>
      </c>
      <c r="D134" s="52">
        <v>215</v>
      </c>
      <c r="E134" s="162">
        <f t="shared" ref="E134:E139" si="20">SUM(F134:Q134)</f>
        <v>523</v>
      </c>
      <c r="F134" s="43">
        <v>3</v>
      </c>
      <c r="G134" s="44">
        <v>40</v>
      </c>
      <c r="H134" s="44">
        <v>0</v>
      </c>
      <c r="I134" s="44">
        <v>0</v>
      </c>
      <c r="J134" s="44">
        <v>23</v>
      </c>
      <c r="K134" s="44">
        <v>0</v>
      </c>
      <c r="L134" s="44">
        <v>4</v>
      </c>
      <c r="M134" s="44">
        <v>270</v>
      </c>
      <c r="N134" s="44">
        <v>156</v>
      </c>
      <c r="O134" s="44">
        <v>14</v>
      </c>
      <c r="P134" s="44">
        <v>0</v>
      </c>
      <c r="Q134" s="45">
        <v>13</v>
      </c>
    </row>
    <row r="135" spans="1:17" s="2" customFormat="1" ht="24" customHeight="1" x14ac:dyDescent="0.25">
      <c r="A135" s="6"/>
      <c r="B135" s="183" t="s">
        <v>101</v>
      </c>
      <c r="C135" s="51">
        <v>13</v>
      </c>
      <c r="D135" s="52">
        <v>133</v>
      </c>
      <c r="E135" s="162">
        <f t="shared" si="20"/>
        <v>0</v>
      </c>
      <c r="F135" s="43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5">
        <v>0</v>
      </c>
    </row>
    <row r="136" spans="1:17" s="2" customFormat="1" ht="33.6" customHeight="1" x14ac:dyDescent="0.25">
      <c r="A136" s="6"/>
      <c r="B136" s="183" t="s">
        <v>102</v>
      </c>
      <c r="C136" s="51">
        <v>355</v>
      </c>
      <c r="D136" s="52">
        <v>284</v>
      </c>
      <c r="E136" s="162">
        <f t="shared" si="20"/>
        <v>410</v>
      </c>
      <c r="F136" s="43">
        <v>0</v>
      </c>
      <c r="G136" s="44">
        <v>0</v>
      </c>
      <c r="H136" s="44">
        <v>0</v>
      </c>
      <c r="I136" s="44">
        <v>22</v>
      </c>
      <c r="J136" s="44">
        <v>54</v>
      </c>
      <c r="K136" s="44">
        <v>54</v>
      </c>
      <c r="L136" s="44">
        <v>0</v>
      </c>
      <c r="M136" s="44">
        <v>36</v>
      </c>
      <c r="N136" s="44">
        <v>36</v>
      </c>
      <c r="O136" s="44">
        <v>115</v>
      </c>
      <c r="P136" s="44">
        <v>57</v>
      </c>
      <c r="Q136" s="45">
        <v>36</v>
      </c>
    </row>
    <row r="137" spans="1:17" s="2" customFormat="1" ht="24" customHeight="1" x14ac:dyDescent="0.25">
      <c r="A137" s="6"/>
      <c r="B137" s="183" t="s">
        <v>103</v>
      </c>
      <c r="C137" s="51">
        <v>277</v>
      </c>
      <c r="D137" s="52">
        <v>727</v>
      </c>
      <c r="E137" s="162">
        <f t="shared" si="20"/>
        <v>910</v>
      </c>
      <c r="F137" s="43">
        <v>26</v>
      </c>
      <c r="G137" s="44">
        <v>105</v>
      </c>
      <c r="H137" s="44">
        <v>15</v>
      </c>
      <c r="I137" s="44">
        <v>28</v>
      </c>
      <c r="J137" s="44">
        <v>23</v>
      </c>
      <c r="K137" s="44">
        <v>64</v>
      </c>
      <c r="L137" s="44">
        <v>61</v>
      </c>
      <c r="M137" s="44">
        <v>127</v>
      </c>
      <c r="N137" s="44">
        <v>281</v>
      </c>
      <c r="O137" s="44">
        <v>135</v>
      </c>
      <c r="P137" s="44">
        <v>7</v>
      </c>
      <c r="Q137" s="45">
        <v>38</v>
      </c>
    </row>
    <row r="138" spans="1:17" s="2" customFormat="1" ht="24" customHeight="1" x14ac:dyDescent="0.25">
      <c r="A138" s="6"/>
      <c r="B138" s="185" t="s">
        <v>104</v>
      </c>
      <c r="C138" s="51">
        <v>538</v>
      </c>
      <c r="D138" s="52">
        <v>751</v>
      </c>
      <c r="E138" s="162">
        <f t="shared" si="20"/>
        <v>428</v>
      </c>
      <c r="F138" s="43">
        <v>72</v>
      </c>
      <c r="G138" s="44">
        <v>17</v>
      </c>
      <c r="H138" s="44">
        <v>20</v>
      </c>
      <c r="I138" s="44">
        <v>57</v>
      </c>
      <c r="J138" s="44">
        <v>24</v>
      </c>
      <c r="K138" s="44">
        <v>40</v>
      </c>
      <c r="L138" s="44">
        <v>95</v>
      </c>
      <c r="M138" s="44">
        <v>65</v>
      </c>
      <c r="N138" s="44">
        <v>28</v>
      </c>
      <c r="O138" s="44">
        <v>10</v>
      </c>
      <c r="P138" s="44">
        <v>0</v>
      </c>
      <c r="Q138" s="45">
        <v>0</v>
      </c>
    </row>
    <row r="139" spans="1:17" s="2" customFormat="1" ht="24" customHeight="1" x14ac:dyDescent="0.25">
      <c r="A139" s="6"/>
      <c r="B139" s="189" t="s">
        <v>105</v>
      </c>
      <c r="C139" s="64">
        <v>135</v>
      </c>
      <c r="D139" s="65">
        <v>317</v>
      </c>
      <c r="E139" s="165">
        <f t="shared" si="20"/>
        <v>348</v>
      </c>
      <c r="F139" s="66">
        <v>31</v>
      </c>
      <c r="G139" s="67">
        <v>20</v>
      </c>
      <c r="H139" s="67">
        <v>72</v>
      </c>
      <c r="I139" s="67">
        <v>54</v>
      </c>
      <c r="J139" s="67">
        <v>0</v>
      </c>
      <c r="K139" s="67">
        <v>0</v>
      </c>
      <c r="L139" s="67">
        <v>9</v>
      </c>
      <c r="M139" s="67">
        <v>127</v>
      </c>
      <c r="N139" s="67">
        <v>35</v>
      </c>
      <c r="O139" s="67">
        <v>0</v>
      </c>
      <c r="P139" s="67">
        <v>0</v>
      </c>
      <c r="Q139" s="68">
        <v>0</v>
      </c>
    </row>
    <row r="140" spans="1:17" x14ac:dyDescent="0.3">
      <c r="A140" s="5"/>
      <c r="B140" s="1098" t="s">
        <v>107</v>
      </c>
      <c r="C140" s="1099"/>
      <c r="D140" s="1099"/>
      <c r="E140" s="1099"/>
      <c r="F140" s="1099"/>
      <c r="G140" s="1099"/>
      <c r="H140" s="1099"/>
      <c r="I140" s="1099"/>
      <c r="J140" s="1099"/>
      <c r="K140" s="1099"/>
      <c r="L140" s="1099"/>
      <c r="M140" s="1099"/>
      <c r="N140" s="1099"/>
      <c r="O140" s="1099"/>
      <c r="P140" s="1099"/>
      <c r="Q140" s="1100"/>
    </row>
    <row r="141" spans="1:17" s="2" customFormat="1" ht="24" customHeight="1" x14ac:dyDescent="0.25">
      <c r="A141" s="6"/>
      <c r="B141" s="72" t="s">
        <v>124</v>
      </c>
      <c r="C141" s="144">
        <v>17478385</v>
      </c>
      <c r="D141" s="145">
        <v>16799007</v>
      </c>
      <c r="E141" s="177">
        <f>SUM(F141:Q141)</f>
        <v>16720003.08</v>
      </c>
      <c r="F141" s="146">
        <v>1390777</v>
      </c>
      <c r="G141" s="147">
        <v>1378176</v>
      </c>
      <c r="H141" s="147">
        <v>1293058</v>
      </c>
      <c r="I141" s="147">
        <v>1373593</v>
      </c>
      <c r="J141" s="147">
        <v>1357311</v>
      </c>
      <c r="K141" s="147">
        <v>1335207</v>
      </c>
      <c r="L141" s="147">
        <v>1340840</v>
      </c>
      <c r="M141" s="147">
        <v>1298442</v>
      </c>
      <c r="N141" s="147">
        <v>1506274</v>
      </c>
      <c r="O141" s="147">
        <v>1546158</v>
      </c>
      <c r="P141" s="147">
        <v>1526291.08</v>
      </c>
      <c r="Q141" s="148">
        <v>1373876</v>
      </c>
    </row>
    <row r="142" spans="1:17" x14ac:dyDescent="0.3">
      <c r="A142" s="5"/>
      <c r="B142" s="1143"/>
      <c r="C142" s="1144"/>
      <c r="D142" s="1144"/>
      <c r="E142" s="1144"/>
      <c r="F142" s="1144"/>
      <c r="G142" s="1144"/>
      <c r="H142" s="1144"/>
      <c r="I142" s="1144"/>
      <c r="J142" s="1144"/>
      <c r="K142" s="1144"/>
      <c r="L142" s="1144"/>
      <c r="M142" s="1144"/>
      <c r="N142" s="1144"/>
      <c r="O142" s="1144"/>
      <c r="P142" s="1144"/>
      <c r="Q142" s="1145"/>
    </row>
    <row r="143" spans="1:17" x14ac:dyDescent="0.3">
      <c r="A143" s="5"/>
      <c r="B143" s="1146" t="s">
        <v>108</v>
      </c>
      <c r="C143" s="1147"/>
      <c r="D143" s="1147"/>
      <c r="E143" s="1147"/>
      <c r="F143" s="1147"/>
      <c r="G143" s="1147"/>
      <c r="H143" s="1147"/>
      <c r="I143" s="1147"/>
      <c r="J143" s="1147"/>
      <c r="K143" s="1147"/>
      <c r="L143" s="1147"/>
      <c r="M143" s="1147"/>
      <c r="N143" s="1147"/>
      <c r="O143" s="1147"/>
      <c r="P143" s="1147"/>
      <c r="Q143" s="1148"/>
    </row>
    <row r="144" spans="1:17" s="2" customFormat="1" ht="24" customHeight="1" x14ac:dyDescent="0.25">
      <c r="A144" s="6"/>
      <c r="B144" s="149" t="s">
        <v>109</v>
      </c>
      <c r="C144" s="150"/>
      <c r="D144" s="151"/>
      <c r="E144" s="175"/>
      <c r="F144" s="1168"/>
      <c r="G144" s="1169"/>
      <c r="H144" s="1169"/>
      <c r="I144" s="1169"/>
      <c r="J144" s="1169"/>
      <c r="K144" s="1169"/>
      <c r="L144" s="1169"/>
      <c r="M144" s="1169"/>
      <c r="N144" s="1169"/>
      <c r="O144" s="1169"/>
      <c r="P144" s="1169"/>
      <c r="Q144" s="1170"/>
    </row>
    <row r="145" spans="1:17" ht="37.5" x14ac:dyDescent="0.3">
      <c r="A145" s="8"/>
      <c r="B145" s="152" t="s">
        <v>119</v>
      </c>
      <c r="C145" s="64"/>
      <c r="D145" s="65"/>
      <c r="E145" s="176"/>
      <c r="F145" s="1171"/>
      <c r="G145" s="1172"/>
      <c r="H145" s="1172"/>
      <c r="I145" s="1172"/>
      <c r="J145" s="1172"/>
      <c r="K145" s="1172"/>
      <c r="L145" s="1172"/>
      <c r="M145" s="1172"/>
      <c r="N145" s="1172"/>
      <c r="O145" s="1172"/>
      <c r="P145" s="1172"/>
      <c r="Q145" s="1173"/>
    </row>
  </sheetData>
  <sheetProtection algorithmName="SHA-512" hashValue="r9W1FWYpOBcs83Ir+pM8S09fYZ3BC9HJ5wtkSge8Ws/2ZU2mOagusqnpvw4LpPgVTI+15wGOEvXQ+hcXD2RUaQ==" saltValue="yPgzin5pvKNQH18ZXYKV/Q==" spinCount="100000" sheet="1" objects="1" scenarios="1"/>
  <mergeCells count="49">
    <mergeCell ref="C111:D111"/>
    <mergeCell ref="B31:Q31"/>
    <mergeCell ref="E97:E99"/>
    <mergeCell ref="E101:E103"/>
    <mergeCell ref="F72:Q73"/>
    <mergeCell ref="B3:Q3"/>
    <mergeCell ref="B4:Q4"/>
    <mergeCell ref="B5:Q5"/>
    <mergeCell ref="B9:Q9"/>
    <mergeCell ref="B14:Q14"/>
    <mergeCell ref="C15:D21"/>
    <mergeCell ref="E15:E21"/>
    <mergeCell ref="E35:E36"/>
    <mergeCell ref="C35:D36"/>
    <mergeCell ref="C101:D103"/>
    <mergeCell ref="C97:D99"/>
    <mergeCell ref="C64:D77"/>
    <mergeCell ref="C1:D1"/>
    <mergeCell ref="B142:Q142"/>
    <mergeCell ref="B117:Q117"/>
    <mergeCell ref="B125:Q125"/>
    <mergeCell ref="B132:Q132"/>
    <mergeCell ref="B140:Q140"/>
    <mergeCell ref="B63:Q63"/>
    <mergeCell ref="B78:Q78"/>
    <mergeCell ref="B88:Q88"/>
    <mergeCell ref="B89:Q89"/>
    <mergeCell ref="B96:Q96"/>
    <mergeCell ref="B39:Q39"/>
    <mergeCell ref="B45:Q45"/>
    <mergeCell ref="B52:Q52"/>
    <mergeCell ref="B53:Q53"/>
    <mergeCell ref="B59:Q59"/>
    <mergeCell ref="F144:Q145"/>
    <mergeCell ref="C60:D62"/>
    <mergeCell ref="C55:D58"/>
    <mergeCell ref="C25:D30"/>
    <mergeCell ref="C22:D23"/>
    <mergeCell ref="C90:D95"/>
    <mergeCell ref="C40:D40"/>
    <mergeCell ref="C42:D43"/>
    <mergeCell ref="B143:Q143"/>
    <mergeCell ref="B100:Q100"/>
    <mergeCell ref="B104:Q104"/>
    <mergeCell ref="B105:Q105"/>
    <mergeCell ref="B110:Q110"/>
    <mergeCell ref="B116:Q116"/>
    <mergeCell ref="C112:D113"/>
    <mergeCell ref="C106:D109"/>
  </mergeCells>
  <pageMargins left="0.15" right="0.15" top="0.65" bottom="0.2" header="0.15" footer="0.15"/>
  <pageSetup scale="59" fitToHeight="0" orientation="landscape" r:id="rId1"/>
  <headerFooter>
    <oddHeader>&amp;C&amp;"-,Bold"&amp;14Durham County Department of Social Services
Management Data FY 14</oddHeader>
    <oddFooter>&amp;CPage &amp;P of &amp;N&amp;RLast Updated 6/2/2014</oddFooter>
  </headerFooter>
  <rowBreaks count="4" manualBreakCount="4">
    <brk id="30" min="1" max="16" man="1"/>
    <brk id="62" min="1" max="16" man="1"/>
    <brk id="87" min="1" max="16" man="1"/>
    <brk id="115" min="1" max="16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45"/>
  <sheetViews>
    <sheetView showGridLines="0" topLeftCell="B1" zoomScale="70" zoomScaleNormal="70" workbookViewId="0">
      <pane ySplit="2" topLeftCell="A3" activePane="bottomLeft" state="frozen"/>
      <selection activeCell="A2" sqref="A2"/>
      <selection pane="bottomLeft" activeCell="H27" sqref="H27"/>
    </sheetView>
  </sheetViews>
  <sheetFormatPr defaultColWidth="8.85546875" defaultRowHeight="18.75" x14ac:dyDescent="0.3"/>
  <cols>
    <col min="1" max="1" width="9.140625" style="1" hidden="1" customWidth="1"/>
    <col min="2" max="2" width="62.85546875" style="1" customWidth="1"/>
    <col min="3" max="4" width="10.140625" style="10" bestFit="1" customWidth="1"/>
    <col min="5" max="5" width="13.5703125" style="9" customWidth="1"/>
    <col min="6" max="6" width="12.140625" style="10" bestFit="1" customWidth="1"/>
    <col min="7" max="14" width="11.140625" style="10" bestFit="1" customWidth="1"/>
    <col min="15" max="15" width="11.140625" style="10" customWidth="1"/>
    <col min="16" max="16" width="10.140625" style="10" customWidth="1"/>
    <col min="17" max="17" width="8.85546875" style="10" customWidth="1"/>
    <col min="18" max="16384" width="8.85546875" style="1"/>
  </cols>
  <sheetData>
    <row r="1" spans="1:17" x14ac:dyDescent="0.3">
      <c r="A1" s="4"/>
      <c r="B1" s="11"/>
      <c r="C1" s="1096" t="s">
        <v>110</v>
      </c>
      <c r="D1" s="1097"/>
      <c r="E1" s="12" t="s">
        <v>123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x14ac:dyDescent="0.3">
      <c r="A2" s="5"/>
      <c r="B2" s="15"/>
      <c r="C2" s="16" t="s">
        <v>0</v>
      </c>
      <c r="D2" s="17" t="s">
        <v>1</v>
      </c>
      <c r="E2" s="18" t="s">
        <v>2</v>
      </c>
      <c r="F2" s="19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</row>
    <row r="3" spans="1:17" x14ac:dyDescent="0.3">
      <c r="A3" s="5"/>
      <c r="B3" s="1098" t="s">
        <v>72</v>
      </c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099"/>
      <c r="Q3" s="1100"/>
    </row>
    <row r="4" spans="1:17" x14ac:dyDescent="0.3">
      <c r="A4" s="5"/>
      <c r="B4" s="1101" t="s">
        <v>3</v>
      </c>
      <c r="C4" s="1102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  <c r="Q4" s="1103"/>
    </row>
    <row r="5" spans="1:17" x14ac:dyDescent="0.3">
      <c r="A5" s="5"/>
      <c r="B5" s="1093" t="s">
        <v>18</v>
      </c>
      <c r="C5" s="1094"/>
      <c r="D5" s="1094"/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5"/>
    </row>
    <row r="6" spans="1:17" ht="24" customHeight="1" x14ac:dyDescent="0.3">
      <c r="A6" s="5"/>
      <c r="B6" s="21" t="s">
        <v>4</v>
      </c>
      <c r="C6" s="22"/>
      <c r="D6" s="23"/>
      <c r="E6" s="159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</row>
    <row r="7" spans="1:17" ht="24" customHeight="1" x14ac:dyDescent="0.3">
      <c r="A7" s="5"/>
      <c r="B7" s="27" t="s">
        <v>5</v>
      </c>
      <c r="C7" s="28"/>
      <c r="D7" s="29"/>
      <c r="E7" s="16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2"/>
    </row>
    <row r="8" spans="1:17" ht="24" customHeight="1" x14ac:dyDescent="0.3">
      <c r="A8" s="5"/>
      <c r="B8" s="27" t="s">
        <v>143</v>
      </c>
      <c r="C8" s="33"/>
      <c r="D8" s="34"/>
      <c r="E8" s="160"/>
      <c r="F8" s="35"/>
      <c r="G8" s="36"/>
      <c r="H8" s="36"/>
      <c r="I8" s="36"/>
      <c r="J8" s="36"/>
      <c r="K8" s="36"/>
      <c r="L8" s="37"/>
      <c r="M8" s="37"/>
      <c r="N8" s="37"/>
      <c r="O8" s="37"/>
      <c r="P8" s="37"/>
      <c r="Q8" s="38"/>
    </row>
    <row r="9" spans="1:17" x14ac:dyDescent="0.3">
      <c r="A9" s="5"/>
      <c r="B9" s="1093" t="s">
        <v>19</v>
      </c>
      <c r="C9" s="1094"/>
      <c r="D9" s="1094"/>
      <c r="E9" s="1094"/>
      <c r="F9" s="1094"/>
      <c r="G9" s="1094"/>
      <c r="H9" s="1094"/>
      <c r="I9" s="1094"/>
      <c r="J9" s="1094"/>
      <c r="K9" s="1094"/>
      <c r="L9" s="1094"/>
      <c r="M9" s="1094"/>
      <c r="N9" s="1094"/>
      <c r="O9" s="1094"/>
      <c r="P9" s="1094"/>
      <c r="Q9" s="1095"/>
    </row>
    <row r="10" spans="1:17" s="2" customFormat="1" ht="24" customHeight="1" x14ac:dyDescent="0.25">
      <c r="A10" s="6"/>
      <c r="B10" s="21" t="s">
        <v>145</v>
      </c>
      <c r="C10" s="39"/>
      <c r="D10" s="40"/>
      <c r="E10" s="161"/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6"/>
    </row>
    <row r="11" spans="1:17" s="2" customFormat="1" ht="24" customHeight="1" x14ac:dyDescent="0.25">
      <c r="A11" s="6"/>
      <c r="B11" s="41" t="s">
        <v>147</v>
      </c>
      <c r="C11" s="39"/>
      <c r="D11" s="42"/>
      <c r="E11" s="162"/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5"/>
    </row>
    <row r="12" spans="1:17" s="2" customFormat="1" ht="24" customHeight="1" x14ac:dyDescent="0.25">
      <c r="A12" s="6"/>
      <c r="B12" s="46" t="s">
        <v>146</v>
      </c>
      <c r="C12" s="39"/>
      <c r="D12" s="42"/>
      <c r="E12" s="163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s="2" customFormat="1" ht="24" customHeight="1" x14ac:dyDescent="0.25">
      <c r="A13" s="6"/>
      <c r="B13" s="47" t="s">
        <v>148</v>
      </c>
      <c r="C13" s="39"/>
      <c r="D13" s="34"/>
      <c r="E13" s="160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2"/>
    </row>
    <row r="14" spans="1:17" x14ac:dyDescent="0.3">
      <c r="A14" s="5"/>
      <c r="B14" s="1093" t="s">
        <v>20</v>
      </c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4"/>
      <c r="N14" s="1094"/>
      <c r="O14" s="1094"/>
      <c r="P14" s="1094"/>
      <c r="Q14" s="1095"/>
    </row>
    <row r="15" spans="1:17" s="2" customFormat="1" ht="24" customHeight="1" x14ac:dyDescent="0.25">
      <c r="A15" s="6"/>
      <c r="B15" s="21" t="s">
        <v>21</v>
      </c>
      <c r="C15" s="1104"/>
      <c r="D15" s="1105"/>
      <c r="E15" s="1115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6"/>
    </row>
    <row r="16" spans="1:17" s="2" customFormat="1" ht="24" customHeight="1" x14ac:dyDescent="0.25">
      <c r="A16" s="6"/>
      <c r="B16" s="48" t="s">
        <v>22</v>
      </c>
      <c r="C16" s="1104"/>
      <c r="D16" s="1105"/>
      <c r="E16" s="1115"/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</row>
    <row r="17" spans="1:17" s="2" customFormat="1" ht="24" customHeight="1" x14ac:dyDescent="0.25">
      <c r="A17" s="6"/>
      <c r="B17" s="48" t="s">
        <v>23</v>
      </c>
      <c r="C17" s="1104"/>
      <c r="D17" s="1105"/>
      <c r="E17" s="1115"/>
      <c r="F17" s="43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/>
    </row>
    <row r="18" spans="1:17" s="2" customFormat="1" ht="24" customHeight="1" x14ac:dyDescent="0.25">
      <c r="A18" s="6"/>
      <c r="B18" s="48" t="s">
        <v>25</v>
      </c>
      <c r="C18" s="1104"/>
      <c r="D18" s="1105"/>
      <c r="E18" s="1115"/>
      <c r="F18" s="4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7" s="2" customFormat="1" ht="24" customHeight="1" x14ac:dyDescent="0.25">
      <c r="A19" s="6"/>
      <c r="B19" s="48" t="s">
        <v>24</v>
      </c>
      <c r="C19" s="1104"/>
      <c r="D19" s="1105"/>
      <c r="E19" s="1115"/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/>
    </row>
    <row r="20" spans="1:17" s="2" customFormat="1" ht="24" customHeight="1" x14ac:dyDescent="0.25">
      <c r="A20" s="6"/>
      <c r="B20" s="48" t="s">
        <v>26</v>
      </c>
      <c r="C20" s="1104"/>
      <c r="D20" s="1105"/>
      <c r="E20" s="1115"/>
      <c r="F20" s="4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</row>
    <row r="21" spans="1:17" s="2" customFormat="1" ht="37.5" x14ac:dyDescent="0.25">
      <c r="A21" s="6"/>
      <c r="B21" s="49" t="s">
        <v>121</v>
      </c>
      <c r="C21" s="1156"/>
      <c r="D21" s="1157"/>
      <c r="E21" s="1158"/>
      <c r="F21" s="4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</row>
    <row r="22" spans="1:17" s="2" customFormat="1" ht="24" customHeight="1" x14ac:dyDescent="0.25">
      <c r="A22" s="6"/>
      <c r="B22" s="46" t="s">
        <v>111</v>
      </c>
      <c r="C22" s="1159"/>
      <c r="D22" s="1160"/>
      <c r="E22" s="162"/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</row>
    <row r="23" spans="1:17" s="2" customFormat="1" ht="24" customHeight="1" x14ac:dyDescent="0.25">
      <c r="A23" s="6"/>
      <c r="B23" s="46" t="s">
        <v>138</v>
      </c>
      <c r="C23" s="1106"/>
      <c r="D23" s="1107"/>
      <c r="E23" s="164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s="2" customFormat="1" ht="24" customHeight="1" x14ac:dyDescent="0.25">
      <c r="A24" s="6"/>
      <c r="B24" s="55" t="s">
        <v>112</v>
      </c>
      <c r="C24" s="56"/>
      <c r="D24" s="57"/>
      <c r="E24" s="58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60"/>
    </row>
    <row r="25" spans="1:17" s="2" customFormat="1" ht="24" customHeight="1" x14ac:dyDescent="0.25">
      <c r="A25" s="6"/>
      <c r="B25" s="55" t="s">
        <v>113</v>
      </c>
      <c r="C25" s="1106"/>
      <c r="D25" s="1107"/>
      <c r="E25" s="161"/>
      <c r="F25" s="2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/>
    </row>
    <row r="26" spans="1:17" s="2" customFormat="1" ht="24" customHeight="1" x14ac:dyDescent="0.25">
      <c r="A26" s="6"/>
      <c r="B26" s="55" t="s">
        <v>139</v>
      </c>
      <c r="C26" s="1106"/>
      <c r="D26" s="1107"/>
      <c r="E26" s="161"/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6"/>
    </row>
    <row r="27" spans="1:17" s="2" customFormat="1" ht="24" customHeight="1" x14ac:dyDescent="0.25">
      <c r="A27" s="6"/>
      <c r="B27" s="55" t="s">
        <v>114</v>
      </c>
      <c r="C27" s="1106"/>
      <c r="D27" s="1107"/>
      <c r="E27" s="161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/>
    </row>
    <row r="28" spans="1:17" s="2" customFormat="1" ht="24" customHeight="1" x14ac:dyDescent="0.25">
      <c r="A28" s="6"/>
      <c r="B28" s="55" t="s">
        <v>115</v>
      </c>
      <c r="C28" s="1106"/>
      <c r="D28" s="1107"/>
      <c r="E28" s="161"/>
      <c r="F28" s="43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5"/>
    </row>
    <row r="29" spans="1:17" s="2" customFormat="1" ht="24" customHeight="1" x14ac:dyDescent="0.25">
      <c r="A29" s="6"/>
      <c r="B29" s="55" t="s">
        <v>117</v>
      </c>
      <c r="C29" s="1106"/>
      <c r="D29" s="1107"/>
      <c r="E29" s="161"/>
      <c r="F29" s="4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/>
    </row>
    <row r="30" spans="1:17" s="2" customFormat="1" ht="24" customHeight="1" x14ac:dyDescent="0.25">
      <c r="A30" s="6"/>
      <c r="B30" s="63" t="s">
        <v>116</v>
      </c>
      <c r="C30" s="1174"/>
      <c r="D30" s="1175"/>
      <c r="E30" s="165"/>
      <c r="F30" s="66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17" x14ac:dyDescent="0.3">
      <c r="A31" s="5"/>
      <c r="B31" s="1116" t="s">
        <v>120</v>
      </c>
      <c r="C31" s="1117"/>
      <c r="D31" s="1117"/>
      <c r="E31" s="1117"/>
      <c r="F31" s="1117"/>
      <c r="G31" s="1117"/>
      <c r="H31" s="1117"/>
      <c r="I31" s="1117"/>
      <c r="J31" s="1117"/>
      <c r="K31" s="1117"/>
      <c r="L31" s="1117"/>
      <c r="M31" s="1117"/>
      <c r="N31" s="1117"/>
      <c r="O31" s="1117"/>
      <c r="P31" s="1117"/>
      <c r="Q31" s="1118"/>
    </row>
    <row r="32" spans="1:17" s="2" customFormat="1" ht="24" customHeight="1" x14ac:dyDescent="0.25">
      <c r="A32" s="6"/>
      <c r="B32" s="21" t="s">
        <v>27</v>
      </c>
      <c r="C32" s="61"/>
      <c r="D32" s="62"/>
      <c r="E32" s="161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6"/>
    </row>
    <row r="33" spans="1:17" s="2" customFormat="1" ht="24" customHeight="1" x14ac:dyDescent="0.25">
      <c r="A33" s="6"/>
      <c r="B33" s="46" t="s">
        <v>28</v>
      </c>
      <c r="C33" s="51"/>
      <c r="D33" s="52"/>
      <c r="E33" s="162"/>
      <c r="F33" s="4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</row>
    <row r="34" spans="1:17" s="2" customFormat="1" ht="24" customHeight="1" x14ac:dyDescent="0.25">
      <c r="A34" s="6"/>
      <c r="B34" s="46" t="s">
        <v>34</v>
      </c>
      <c r="C34" s="53"/>
      <c r="D34" s="54"/>
      <c r="E34" s="164"/>
      <c r="F34" s="43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5"/>
    </row>
    <row r="35" spans="1:17" s="2" customFormat="1" ht="24" customHeight="1" x14ac:dyDescent="0.25">
      <c r="A35" s="6"/>
      <c r="B35" s="46" t="s">
        <v>29</v>
      </c>
      <c r="C35" s="1104"/>
      <c r="D35" s="1105"/>
      <c r="E35" s="1115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5"/>
    </row>
    <row r="36" spans="1:17" s="2" customFormat="1" ht="24" customHeight="1" x14ac:dyDescent="0.25">
      <c r="A36" s="6"/>
      <c r="B36" s="46" t="s">
        <v>30</v>
      </c>
      <c r="C36" s="1104"/>
      <c r="D36" s="1105"/>
      <c r="E36" s="111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44"/>
      <c r="Q36" s="45"/>
    </row>
    <row r="37" spans="1:17" s="2" customFormat="1" ht="24" customHeight="1" x14ac:dyDescent="0.25">
      <c r="A37" s="6"/>
      <c r="B37" s="46" t="s">
        <v>36</v>
      </c>
      <c r="C37" s="61"/>
      <c r="D37" s="62"/>
      <c r="E37" s="161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/>
    </row>
    <row r="38" spans="1:17" s="2" customFormat="1" ht="24" customHeight="1" x14ac:dyDescent="0.25">
      <c r="A38" s="6"/>
      <c r="B38" s="27" t="s">
        <v>35</v>
      </c>
      <c r="C38" s="53"/>
      <c r="D38" s="54"/>
      <c r="E38" s="164"/>
      <c r="F38" s="30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2"/>
    </row>
    <row r="39" spans="1:17" x14ac:dyDescent="0.3">
      <c r="A39" s="5"/>
      <c r="B39" s="1093" t="s">
        <v>31</v>
      </c>
      <c r="C39" s="1094"/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5"/>
    </row>
    <row r="40" spans="1:17" s="2" customFormat="1" ht="24" customHeight="1" x14ac:dyDescent="0.25">
      <c r="A40" s="6"/>
      <c r="B40" s="21" t="s">
        <v>38</v>
      </c>
      <c r="C40" s="1127"/>
      <c r="D40" s="1128"/>
      <c r="E40" s="166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s="2" customFormat="1" ht="24" customHeight="1" x14ac:dyDescent="0.25">
      <c r="A41" s="6"/>
      <c r="B41" s="48" t="s">
        <v>140</v>
      </c>
      <c r="C41" s="61"/>
      <c r="D41" s="62"/>
      <c r="E41" s="69"/>
      <c r="F41" s="4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/>
    </row>
    <row r="42" spans="1:17" s="2" customFormat="1" ht="24" customHeight="1" x14ac:dyDescent="0.25">
      <c r="A42" s="6"/>
      <c r="B42" s="48" t="s">
        <v>141</v>
      </c>
      <c r="C42" s="1154"/>
      <c r="D42" s="1155"/>
      <c r="E42" s="69"/>
      <c r="F42" s="4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5"/>
    </row>
    <row r="43" spans="1:17" s="2" customFormat="1" ht="24" customHeight="1" x14ac:dyDescent="0.25">
      <c r="A43" s="6"/>
      <c r="B43" s="70" t="s">
        <v>149</v>
      </c>
      <c r="C43" s="1161"/>
      <c r="D43" s="1162"/>
      <c r="E43" s="154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45"/>
    </row>
    <row r="44" spans="1:17" s="2" customFormat="1" ht="24" customHeight="1" x14ac:dyDescent="0.25">
      <c r="A44" s="6"/>
      <c r="B44" s="71" t="s">
        <v>37</v>
      </c>
      <c r="C44" s="53"/>
      <c r="D44" s="54"/>
      <c r="E44" s="164"/>
      <c r="F44" s="30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2"/>
    </row>
    <row r="45" spans="1:17" x14ac:dyDescent="0.3">
      <c r="A45" s="5"/>
      <c r="B45" s="1116" t="s">
        <v>39</v>
      </c>
      <c r="C45" s="1117"/>
      <c r="D45" s="1117"/>
      <c r="E45" s="1117"/>
      <c r="F45" s="1117"/>
      <c r="G45" s="1117"/>
      <c r="H45" s="1117"/>
      <c r="I45" s="1117"/>
      <c r="J45" s="1117"/>
      <c r="K45" s="1117"/>
      <c r="L45" s="1117"/>
      <c r="M45" s="1117"/>
      <c r="N45" s="1117"/>
      <c r="O45" s="1117"/>
      <c r="P45" s="1117"/>
      <c r="Q45" s="1118"/>
    </row>
    <row r="46" spans="1:17" s="2" customFormat="1" ht="24" customHeight="1" x14ac:dyDescent="0.25">
      <c r="A46" s="6"/>
      <c r="B46" s="72" t="s">
        <v>67</v>
      </c>
      <c r="C46" s="73"/>
      <c r="D46" s="40"/>
      <c r="E46" s="159"/>
      <c r="F46" s="74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6"/>
    </row>
    <row r="47" spans="1:17" s="2" customFormat="1" ht="24" customHeight="1" x14ac:dyDescent="0.25">
      <c r="A47" s="6"/>
      <c r="B47" s="48" t="s">
        <v>68</v>
      </c>
      <c r="C47" s="77"/>
      <c r="D47" s="42"/>
      <c r="E47" s="163"/>
      <c r="F47" s="78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80"/>
    </row>
    <row r="48" spans="1:17" s="2" customFormat="1" ht="24" customHeight="1" x14ac:dyDescent="0.25">
      <c r="A48" s="6"/>
      <c r="B48" s="70" t="s">
        <v>42</v>
      </c>
      <c r="C48" s="77"/>
      <c r="D48" s="42"/>
      <c r="E48" s="163"/>
      <c r="F48" s="78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80"/>
    </row>
    <row r="49" spans="1:17" s="2" customFormat="1" ht="24" customHeight="1" x14ac:dyDescent="0.25">
      <c r="A49" s="6"/>
      <c r="B49" s="48" t="s">
        <v>69</v>
      </c>
      <c r="C49" s="77"/>
      <c r="D49" s="42"/>
      <c r="E49" s="163"/>
      <c r="F49" s="78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80"/>
    </row>
    <row r="50" spans="1:17" s="2" customFormat="1" ht="24" customHeight="1" x14ac:dyDescent="0.25">
      <c r="A50" s="6"/>
      <c r="B50" s="70" t="s">
        <v>41</v>
      </c>
      <c r="C50" s="77"/>
      <c r="D50" s="42"/>
      <c r="E50" s="163"/>
      <c r="F50" s="78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80"/>
    </row>
    <row r="51" spans="1:17" s="2" customFormat="1" ht="24" customHeight="1" x14ac:dyDescent="0.25">
      <c r="A51" s="6"/>
      <c r="B51" s="47" t="s">
        <v>40</v>
      </c>
      <c r="C51" s="33"/>
      <c r="D51" s="34"/>
      <c r="E51" s="160"/>
      <c r="F51" s="81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8"/>
    </row>
    <row r="52" spans="1:17" x14ac:dyDescent="0.3">
      <c r="A52" s="5"/>
      <c r="B52" s="1124" t="s">
        <v>43</v>
      </c>
      <c r="C52" s="1125"/>
      <c r="D52" s="1125"/>
      <c r="E52" s="1125"/>
      <c r="F52" s="1125"/>
      <c r="G52" s="1125"/>
      <c r="H52" s="1125"/>
      <c r="I52" s="1125"/>
      <c r="J52" s="1125"/>
      <c r="K52" s="1125"/>
      <c r="L52" s="1125"/>
      <c r="M52" s="1125"/>
      <c r="N52" s="1125"/>
      <c r="O52" s="1125"/>
      <c r="P52" s="1125"/>
      <c r="Q52" s="1126"/>
    </row>
    <row r="53" spans="1:17" x14ac:dyDescent="0.3">
      <c r="A53" s="5"/>
      <c r="B53" s="1116" t="s">
        <v>44</v>
      </c>
      <c r="C53" s="1117"/>
      <c r="D53" s="1117"/>
      <c r="E53" s="1117"/>
      <c r="F53" s="1117"/>
      <c r="G53" s="1117"/>
      <c r="H53" s="1117"/>
      <c r="I53" s="1117"/>
      <c r="J53" s="1117"/>
      <c r="K53" s="1117"/>
      <c r="L53" s="1117"/>
      <c r="M53" s="1117"/>
      <c r="N53" s="1117"/>
      <c r="O53" s="1117"/>
      <c r="P53" s="1117"/>
      <c r="Q53" s="1118"/>
    </row>
    <row r="54" spans="1:17" s="2" customFormat="1" ht="24" customHeight="1" x14ac:dyDescent="0.25">
      <c r="A54" s="6"/>
      <c r="B54" s="72" t="s">
        <v>45</v>
      </c>
      <c r="C54" s="61"/>
      <c r="D54" s="62"/>
      <c r="E54" s="161"/>
      <c r="F54" s="24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6"/>
    </row>
    <row r="55" spans="1:17" s="2" customFormat="1" ht="24" customHeight="1" x14ac:dyDescent="0.25">
      <c r="A55" s="6"/>
      <c r="B55" s="70" t="s">
        <v>49</v>
      </c>
      <c r="C55" s="1154"/>
      <c r="D55" s="1155"/>
      <c r="E55" s="162"/>
      <c r="F55" s="43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5"/>
    </row>
    <row r="56" spans="1:17" s="2" customFormat="1" ht="24" customHeight="1" x14ac:dyDescent="0.25">
      <c r="A56" s="6"/>
      <c r="B56" s="70" t="s">
        <v>46</v>
      </c>
      <c r="C56" s="1119"/>
      <c r="D56" s="1120"/>
      <c r="E56" s="164"/>
      <c r="F56" s="36"/>
      <c r="G56" s="36"/>
      <c r="H56" s="36"/>
      <c r="I56" s="36"/>
      <c r="J56" s="36"/>
      <c r="K56" s="36"/>
      <c r="L56" s="44"/>
      <c r="M56" s="79"/>
      <c r="N56" s="79"/>
      <c r="O56" s="79"/>
      <c r="P56" s="79"/>
      <c r="Q56" s="79"/>
    </row>
    <row r="57" spans="1:17" s="2" customFormat="1" ht="24" customHeight="1" x14ac:dyDescent="0.25">
      <c r="A57" s="6"/>
      <c r="B57" s="48" t="s">
        <v>47</v>
      </c>
      <c r="C57" s="1119"/>
      <c r="D57" s="1120"/>
      <c r="E57" s="69"/>
      <c r="F57" s="36"/>
      <c r="G57" s="36"/>
      <c r="H57" s="36"/>
      <c r="I57" s="36"/>
      <c r="J57" s="36"/>
      <c r="K57" s="36"/>
      <c r="L57" s="153"/>
      <c r="M57" s="153"/>
      <c r="N57" s="79"/>
      <c r="O57" s="79"/>
      <c r="P57" s="79"/>
      <c r="Q57" s="80"/>
    </row>
    <row r="58" spans="1:17" s="2" customFormat="1" ht="24" customHeight="1" x14ac:dyDescent="0.25">
      <c r="A58" s="6"/>
      <c r="B58" s="47" t="s">
        <v>48</v>
      </c>
      <c r="C58" s="1119"/>
      <c r="D58" s="1120"/>
      <c r="E58" s="69"/>
      <c r="F58" s="36"/>
      <c r="G58" s="36"/>
      <c r="H58" s="36"/>
      <c r="I58" s="36"/>
      <c r="J58" s="36"/>
      <c r="K58" s="36"/>
      <c r="L58" s="153"/>
      <c r="M58" s="37"/>
      <c r="N58" s="153"/>
      <c r="O58" s="37"/>
      <c r="P58" s="153"/>
      <c r="Q58" s="38"/>
    </row>
    <row r="59" spans="1:17" x14ac:dyDescent="0.3">
      <c r="A59" s="5"/>
      <c r="B59" s="1116" t="s">
        <v>50</v>
      </c>
      <c r="C59" s="1117"/>
      <c r="D59" s="1117"/>
      <c r="E59" s="1117"/>
      <c r="F59" s="1117"/>
      <c r="G59" s="1117"/>
      <c r="H59" s="1117"/>
      <c r="I59" s="1117"/>
      <c r="J59" s="1117"/>
      <c r="K59" s="1117"/>
      <c r="L59" s="1117"/>
      <c r="M59" s="1117"/>
      <c r="N59" s="1117"/>
      <c r="O59" s="1117"/>
      <c r="P59" s="1117"/>
      <c r="Q59" s="1118"/>
    </row>
    <row r="60" spans="1:17" s="2" customFormat="1" ht="24" customHeight="1" x14ac:dyDescent="0.25">
      <c r="A60" s="6"/>
      <c r="B60" s="72" t="s">
        <v>51</v>
      </c>
      <c r="C60" s="1119"/>
      <c r="D60" s="1120"/>
      <c r="E60" s="166"/>
      <c r="F60" s="24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6"/>
    </row>
    <row r="61" spans="1:17" s="2" customFormat="1" ht="24" customHeight="1" x14ac:dyDescent="0.25">
      <c r="A61" s="6"/>
      <c r="B61" s="48" t="s">
        <v>32</v>
      </c>
      <c r="C61" s="1119"/>
      <c r="D61" s="1120"/>
      <c r="E61" s="69"/>
      <c r="F61" s="43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5"/>
    </row>
    <row r="62" spans="1:17" s="2" customFormat="1" ht="24" customHeight="1" x14ac:dyDescent="0.25">
      <c r="A62" s="6"/>
      <c r="B62" s="82" t="s">
        <v>33</v>
      </c>
      <c r="C62" s="1127"/>
      <c r="D62" s="1128"/>
      <c r="E62" s="83"/>
      <c r="F62" s="66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8"/>
    </row>
    <row r="63" spans="1:17" x14ac:dyDescent="0.3">
      <c r="A63" s="5"/>
      <c r="B63" s="1116" t="s">
        <v>52</v>
      </c>
      <c r="C63" s="1117"/>
      <c r="D63" s="1117"/>
      <c r="E63" s="1117"/>
      <c r="F63" s="1117"/>
      <c r="G63" s="1117"/>
      <c r="H63" s="1117"/>
      <c r="I63" s="1117"/>
      <c r="J63" s="1117"/>
      <c r="K63" s="1117"/>
      <c r="L63" s="1117"/>
      <c r="M63" s="1117"/>
      <c r="N63" s="1117"/>
      <c r="O63" s="1117"/>
      <c r="P63" s="1117"/>
      <c r="Q63" s="1118"/>
    </row>
    <row r="64" spans="1:17" s="2" customFormat="1" ht="24" customHeight="1" x14ac:dyDescent="0.25">
      <c r="A64" s="6"/>
      <c r="B64" s="72" t="s">
        <v>53</v>
      </c>
      <c r="C64" s="1119"/>
      <c r="D64" s="1120"/>
      <c r="E64" s="166"/>
      <c r="F64" s="24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6"/>
    </row>
    <row r="65" spans="1:17" s="2" customFormat="1" ht="24" customHeight="1" x14ac:dyDescent="0.25">
      <c r="A65" s="6"/>
      <c r="B65" s="48" t="s">
        <v>32</v>
      </c>
      <c r="C65" s="1119"/>
      <c r="D65" s="1120"/>
      <c r="E65" s="69"/>
      <c r="F65" s="43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5"/>
    </row>
    <row r="66" spans="1:17" s="2" customFormat="1" ht="24" customHeight="1" x14ac:dyDescent="0.25">
      <c r="A66" s="6"/>
      <c r="B66" s="48" t="s">
        <v>33</v>
      </c>
      <c r="C66" s="1119"/>
      <c r="D66" s="1120"/>
      <c r="E66" s="69"/>
      <c r="F66" s="43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5"/>
    </row>
    <row r="67" spans="1:17" s="2" customFormat="1" ht="24" customHeight="1" x14ac:dyDescent="0.25">
      <c r="A67" s="6"/>
      <c r="B67" s="70" t="s">
        <v>54</v>
      </c>
      <c r="C67" s="1119"/>
      <c r="D67" s="1120"/>
      <c r="E67" s="50"/>
      <c r="F67" s="78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45"/>
    </row>
    <row r="68" spans="1:17" s="2" customFormat="1" ht="24" customHeight="1" x14ac:dyDescent="0.25">
      <c r="A68" s="6"/>
      <c r="B68" s="70" t="s">
        <v>55</v>
      </c>
      <c r="C68" s="1119"/>
      <c r="D68" s="1120"/>
      <c r="E68" s="164">
        <v>151</v>
      </c>
      <c r="F68" s="43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5"/>
    </row>
    <row r="69" spans="1:17" s="2" customFormat="1" ht="24" customHeight="1" x14ac:dyDescent="0.25">
      <c r="A69" s="6"/>
      <c r="B69" s="48" t="s">
        <v>32</v>
      </c>
      <c r="C69" s="1119"/>
      <c r="D69" s="1120"/>
      <c r="E69" s="69"/>
      <c r="F69" s="43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5"/>
    </row>
    <row r="70" spans="1:17" s="2" customFormat="1" ht="24" customHeight="1" x14ac:dyDescent="0.25">
      <c r="A70" s="6"/>
      <c r="B70" s="48" t="s">
        <v>33</v>
      </c>
      <c r="C70" s="1119"/>
      <c r="D70" s="1120"/>
      <c r="E70" s="69"/>
      <c r="F70" s="43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5"/>
    </row>
    <row r="71" spans="1:17" s="2" customFormat="1" ht="24" customHeight="1" x14ac:dyDescent="0.25">
      <c r="A71" s="6"/>
      <c r="B71" s="70" t="s">
        <v>56</v>
      </c>
      <c r="C71" s="1119"/>
      <c r="D71" s="1120"/>
      <c r="E71" s="69"/>
      <c r="F71" s="43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5"/>
    </row>
    <row r="72" spans="1:17" s="2" customFormat="1" ht="24" customHeight="1" x14ac:dyDescent="0.25">
      <c r="A72" s="6"/>
      <c r="B72" s="48" t="s">
        <v>32</v>
      </c>
      <c r="C72" s="1119"/>
      <c r="D72" s="1120"/>
      <c r="E72" s="69"/>
      <c r="F72" s="1163"/>
      <c r="G72" s="1164"/>
      <c r="H72" s="1164"/>
      <c r="I72" s="1164"/>
      <c r="J72" s="1164"/>
      <c r="K72" s="1164"/>
      <c r="L72" s="1164"/>
      <c r="M72" s="1164"/>
      <c r="N72" s="1164"/>
      <c r="O72" s="1164"/>
      <c r="P72" s="1164"/>
      <c r="Q72" s="1165"/>
    </row>
    <row r="73" spans="1:17" s="2" customFormat="1" ht="24" customHeight="1" x14ac:dyDescent="0.25">
      <c r="A73" s="6"/>
      <c r="B73" s="48" t="s">
        <v>33</v>
      </c>
      <c r="C73" s="1119"/>
      <c r="D73" s="1120"/>
      <c r="E73" s="69"/>
      <c r="F73" s="1156"/>
      <c r="G73" s="1166"/>
      <c r="H73" s="1166"/>
      <c r="I73" s="1166"/>
      <c r="J73" s="1166"/>
      <c r="K73" s="1166"/>
      <c r="L73" s="1166"/>
      <c r="M73" s="1166"/>
      <c r="N73" s="1166"/>
      <c r="O73" s="1166"/>
      <c r="P73" s="1166"/>
      <c r="Q73" s="1167"/>
    </row>
    <row r="74" spans="1:17" s="2" customFormat="1" ht="24" customHeight="1" x14ac:dyDescent="0.25">
      <c r="A74" s="6"/>
      <c r="B74" s="70" t="s">
        <v>57</v>
      </c>
      <c r="C74" s="1119"/>
      <c r="D74" s="1120"/>
      <c r="E74" s="158"/>
      <c r="F74" s="155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7"/>
    </row>
    <row r="75" spans="1:17" s="2" customFormat="1" ht="24" customHeight="1" x14ac:dyDescent="0.25">
      <c r="A75" s="6"/>
      <c r="B75" s="70" t="s">
        <v>58</v>
      </c>
      <c r="C75" s="1119"/>
      <c r="D75" s="1120"/>
      <c r="E75" s="164"/>
      <c r="F75" s="43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5"/>
    </row>
    <row r="76" spans="1:17" s="2" customFormat="1" ht="24" customHeight="1" x14ac:dyDescent="0.25">
      <c r="A76" s="6"/>
      <c r="B76" s="48" t="s">
        <v>32</v>
      </c>
      <c r="C76" s="1119"/>
      <c r="D76" s="1120"/>
      <c r="E76" s="69"/>
      <c r="F76" s="43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5"/>
    </row>
    <row r="77" spans="1:17" s="2" customFormat="1" ht="24" customHeight="1" x14ac:dyDescent="0.25">
      <c r="A77" s="6"/>
      <c r="B77" s="47" t="s">
        <v>33</v>
      </c>
      <c r="C77" s="1119"/>
      <c r="D77" s="1120"/>
      <c r="E77" s="69"/>
      <c r="F77" s="30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2"/>
    </row>
    <row r="78" spans="1:17" x14ac:dyDescent="0.3">
      <c r="A78" s="5"/>
      <c r="B78" s="1116" t="s">
        <v>59</v>
      </c>
      <c r="C78" s="1117"/>
      <c r="D78" s="1117"/>
      <c r="E78" s="1117"/>
      <c r="F78" s="1117"/>
      <c r="G78" s="1117"/>
      <c r="H78" s="1117"/>
      <c r="I78" s="1117"/>
      <c r="J78" s="1117"/>
      <c r="K78" s="1117"/>
      <c r="L78" s="1117"/>
      <c r="M78" s="1117"/>
      <c r="N78" s="1117"/>
      <c r="O78" s="1117"/>
      <c r="P78" s="1117"/>
      <c r="Q78" s="1118"/>
    </row>
    <row r="79" spans="1:17" s="3" customFormat="1" ht="24" customHeight="1" x14ac:dyDescent="0.25">
      <c r="A79" s="7"/>
      <c r="B79" s="21" t="s">
        <v>60</v>
      </c>
      <c r="C79" s="84"/>
      <c r="D79" s="85"/>
      <c r="E79" s="167"/>
      <c r="F79" s="86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8"/>
    </row>
    <row r="80" spans="1:17" s="3" customFormat="1" ht="24" customHeight="1" x14ac:dyDescent="0.25">
      <c r="A80" s="7"/>
      <c r="B80" s="89" t="s">
        <v>61</v>
      </c>
      <c r="C80" s="90"/>
      <c r="D80" s="91"/>
      <c r="E80" s="167"/>
      <c r="F80" s="92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4"/>
    </row>
    <row r="81" spans="1:17" s="3" customFormat="1" ht="24" customHeight="1" x14ac:dyDescent="0.25">
      <c r="A81" s="7"/>
      <c r="B81" s="89" t="s">
        <v>62</v>
      </c>
      <c r="C81" s="90"/>
      <c r="D81" s="91"/>
      <c r="E81" s="167"/>
      <c r="F81" s="92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4"/>
    </row>
    <row r="82" spans="1:17" s="3" customFormat="1" ht="24" customHeight="1" x14ac:dyDescent="0.25">
      <c r="A82" s="7"/>
      <c r="B82" s="89" t="s">
        <v>70</v>
      </c>
      <c r="C82" s="90"/>
      <c r="D82" s="91"/>
      <c r="E82" s="167"/>
      <c r="F82" s="92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4"/>
    </row>
    <row r="83" spans="1:17" s="3" customFormat="1" ht="24" customHeight="1" x14ac:dyDescent="0.25">
      <c r="A83" s="7"/>
      <c r="B83" s="89" t="s">
        <v>63</v>
      </c>
      <c r="C83" s="90"/>
      <c r="D83" s="91"/>
      <c r="E83" s="167"/>
      <c r="F83" s="92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4"/>
    </row>
    <row r="84" spans="1:17" s="3" customFormat="1" ht="24" customHeight="1" x14ac:dyDescent="0.25">
      <c r="A84" s="7"/>
      <c r="B84" s="89" t="s">
        <v>64</v>
      </c>
      <c r="C84" s="90"/>
      <c r="D84" s="91"/>
      <c r="E84" s="167"/>
      <c r="F84" s="92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4"/>
    </row>
    <row r="85" spans="1:17" s="3" customFormat="1" ht="24" customHeight="1" x14ac:dyDescent="0.25">
      <c r="A85" s="7"/>
      <c r="B85" s="89" t="s">
        <v>65</v>
      </c>
      <c r="C85" s="90"/>
      <c r="D85" s="91"/>
      <c r="E85" s="167"/>
      <c r="F85" s="92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4"/>
    </row>
    <row r="86" spans="1:17" s="3" customFormat="1" ht="24" customHeight="1" x14ac:dyDescent="0.25">
      <c r="A86" s="7"/>
      <c r="B86" s="89" t="s">
        <v>122</v>
      </c>
      <c r="C86" s="90"/>
      <c r="D86" s="91"/>
      <c r="E86" s="167"/>
      <c r="F86" s="92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4"/>
    </row>
    <row r="87" spans="1:17" s="3" customFormat="1" ht="24" customHeight="1" x14ac:dyDescent="0.25">
      <c r="A87" s="7"/>
      <c r="B87" s="95" t="s">
        <v>66</v>
      </c>
      <c r="C87" s="96"/>
      <c r="D87" s="97"/>
      <c r="E87" s="168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0"/>
    </row>
    <row r="88" spans="1:17" x14ac:dyDescent="0.3">
      <c r="A88" s="5"/>
      <c r="B88" s="1098" t="s">
        <v>71</v>
      </c>
      <c r="C88" s="1099"/>
      <c r="D88" s="1099"/>
      <c r="E88" s="1099"/>
      <c r="F88" s="1099"/>
      <c r="G88" s="1099"/>
      <c r="H88" s="1099"/>
      <c r="I88" s="1099"/>
      <c r="J88" s="1099"/>
      <c r="K88" s="1099"/>
      <c r="L88" s="1099"/>
      <c r="M88" s="1099"/>
      <c r="N88" s="1099"/>
      <c r="O88" s="1099"/>
      <c r="P88" s="1099"/>
      <c r="Q88" s="1100"/>
    </row>
    <row r="89" spans="1:17" ht="17.100000000000001" customHeight="1" x14ac:dyDescent="0.3">
      <c r="A89" s="5"/>
      <c r="B89" s="1135" t="s">
        <v>73</v>
      </c>
      <c r="C89" s="1136"/>
      <c r="D89" s="1136"/>
      <c r="E89" s="1136"/>
      <c r="F89" s="1136"/>
      <c r="G89" s="1136"/>
      <c r="H89" s="1136"/>
      <c r="I89" s="1136"/>
      <c r="J89" s="1136"/>
      <c r="K89" s="1136"/>
      <c r="L89" s="1136"/>
      <c r="M89" s="1136"/>
      <c r="N89" s="1136"/>
      <c r="O89" s="1136"/>
      <c r="P89" s="1136"/>
      <c r="Q89" s="1137"/>
    </row>
    <row r="90" spans="1:17" s="2" customFormat="1" ht="24" customHeight="1" x14ac:dyDescent="0.25">
      <c r="A90" s="6"/>
      <c r="B90" s="72" t="s">
        <v>74</v>
      </c>
      <c r="C90" s="1106"/>
      <c r="D90" s="1107"/>
      <c r="E90" s="166"/>
      <c r="F90" s="74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6"/>
    </row>
    <row r="91" spans="1:17" s="2" customFormat="1" ht="24" customHeight="1" x14ac:dyDescent="0.25">
      <c r="A91" s="6"/>
      <c r="B91" s="48" t="s">
        <v>32</v>
      </c>
      <c r="C91" s="1106"/>
      <c r="D91" s="1107"/>
      <c r="E91" s="69"/>
      <c r="F91" s="78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80"/>
    </row>
    <row r="92" spans="1:17" s="2" customFormat="1" ht="24" customHeight="1" x14ac:dyDescent="0.25">
      <c r="A92" s="6"/>
      <c r="B92" s="48" t="s">
        <v>142</v>
      </c>
      <c r="C92" s="1106"/>
      <c r="D92" s="1107"/>
      <c r="E92" s="69"/>
      <c r="F92" s="78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80"/>
    </row>
    <row r="93" spans="1:17" s="2" customFormat="1" ht="24" customHeight="1" x14ac:dyDescent="0.25">
      <c r="A93" s="6"/>
      <c r="B93" s="70" t="s">
        <v>75</v>
      </c>
      <c r="C93" s="1106"/>
      <c r="D93" s="1107"/>
      <c r="E93" s="166"/>
      <c r="F93" s="78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</row>
    <row r="94" spans="1:17" s="2" customFormat="1" ht="24" customHeight="1" x14ac:dyDescent="0.25">
      <c r="A94" s="6"/>
      <c r="B94" s="48" t="s">
        <v>32</v>
      </c>
      <c r="C94" s="1106"/>
      <c r="D94" s="1107"/>
      <c r="E94" s="69"/>
      <c r="F94" s="78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80"/>
    </row>
    <row r="95" spans="1:17" s="2" customFormat="1" ht="24" customHeight="1" x14ac:dyDescent="0.25">
      <c r="A95" s="6"/>
      <c r="B95" s="47" t="s">
        <v>33</v>
      </c>
      <c r="C95" s="1174"/>
      <c r="D95" s="1175"/>
      <c r="E95" s="69"/>
      <c r="F95" s="81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8"/>
    </row>
    <row r="96" spans="1:17" x14ac:dyDescent="0.3">
      <c r="A96" s="5"/>
      <c r="B96" s="1124" t="s">
        <v>76</v>
      </c>
      <c r="C96" s="1125"/>
      <c r="D96" s="1125"/>
      <c r="E96" s="1125"/>
      <c r="F96" s="1125"/>
      <c r="G96" s="1125"/>
      <c r="H96" s="1125"/>
      <c r="I96" s="1125"/>
      <c r="J96" s="1125"/>
      <c r="K96" s="1125"/>
      <c r="L96" s="1125"/>
      <c r="M96" s="1125"/>
      <c r="N96" s="1125"/>
      <c r="O96" s="1125"/>
      <c r="P96" s="1125"/>
      <c r="Q96" s="1126"/>
    </row>
    <row r="97" spans="1:17" s="2" customFormat="1" ht="24" customHeight="1" x14ac:dyDescent="0.25">
      <c r="A97" s="6"/>
      <c r="B97" s="72" t="s">
        <v>77</v>
      </c>
      <c r="C97" s="1138"/>
      <c r="D97" s="1139"/>
      <c r="E97" s="1115"/>
      <c r="F97" s="74"/>
      <c r="G97" s="75"/>
      <c r="H97" s="75"/>
      <c r="I97" s="75"/>
      <c r="J97" s="75"/>
      <c r="K97" s="75"/>
      <c r="L97" s="75"/>
      <c r="M97" s="75"/>
      <c r="N97" s="75"/>
      <c r="O97" s="75"/>
      <c r="P97" s="36"/>
      <c r="Q97" s="76"/>
    </row>
    <row r="98" spans="1:17" s="2" customFormat="1" ht="24" customHeight="1" x14ac:dyDescent="0.25">
      <c r="A98" s="6"/>
      <c r="B98" s="70" t="s">
        <v>78</v>
      </c>
      <c r="C98" s="1138"/>
      <c r="D98" s="1139"/>
      <c r="E98" s="1115"/>
      <c r="F98" s="78"/>
      <c r="G98" s="79"/>
      <c r="H98" s="79"/>
      <c r="I98" s="79"/>
      <c r="J98" s="79"/>
      <c r="K98" s="79"/>
      <c r="L98" s="79"/>
      <c r="M98" s="79"/>
      <c r="N98" s="79"/>
      <c r="O98" s="79"/>
      <c r="P98" s="36"/>
      <c r="Q98" s="80"/>
    </row>
    <row r="99" spans="1:17" s="2" customFormat="1" ht="24" customHeight="1" x14ac:dyDescent="0.25">
      <c r="A99" s="6"/>
      <c r="B99" s="71" t="s">
        <v>79</v>
      </c>
      <c r="C99" s="1138"/>
      <c r="D99" s="1139"/>
      <c r="E99" s="1115"/>
      <c r="F99" s="35"/>
      <c r="G99" s="36"/>
      <c r="H99" s="36"/>
      <c r="I99" s="101"/>
      <c r="J99" s="101"/>
      <c r="K99" s="101"/>
      <c r="L99" s="101"/>
      <c r="M99" s="36"/>
      <c r="N99" s="101"/>
      <c r="O99" s="101"/>
      <c r="P99" s="101"/>
      <c r="Q99" s="102"/>
    </row>
    <row r="100" spans="1:17" x14ac:dyDescent="0.3">
      <c r="A100" s="5"/>
      <c r="B100" s="1124" t="s">
        <v>80</v>
      </c>
      <c r="C100" s="1125"/>
      <c r="D100" s="1125"/>
      <c r="E100" s="1125"/>
      <c r="F100" s="1125"/>
      <c r="G100" s="1125"/>
      <c r="H100" s="1125"/>
      <c r="I100" s="1125"/>
      <c r="J100" s="1125"/>
      <c r="K100" s="1125"/>
      <c r="L100" s="1125"/>
      <c r="M100" s="1125"/>
      <c r="N100" s="1125"/>
      <c r="O100" s="1125"/>
      <c r="P100" s="1125"/>
      <c r="Q100" s="1126"/>
    </row>
    <row r="101" spans="1:17" s="2" customFormat="1" ht="24" customHeight="1" x14ac:dyDescent="0.25">
      <c r="A101" s="6"/>
      <c r="B101" s="72" t="s">
        <v>81</v>
      </c>
      <c r="C101" s="1104"/>
      <c r="D101" s="1105"/>
      <c r="E101" s="1151"/>
      <c r="F101" s="24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6"/>
    </row>
    <row r="102" spans="1:17" s="2" customFormat="1" ht="24" customHeight="1" x14ac:dyDescent="0.25">
      <c r="A102" s="6"/>
      <c r="B102" s="70" t="s">
        <v>82</v>
      </c>
      <c r="C102" s="1104"/>
      <c r="D102" s="1105"/>
      <c r="E102" s="1151"/>
      <c r="F102" s="43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5"/>
    </row>
    <row r="103" spans="1:17" s="2" customFormat="1" ht="36.6" customHeight="1" x14ac:dyDescent="0.25">
      <c r="A103" s="6"/>
      <c r="B103" s="103" t="s">
        <v>137</v>
      </c>
      <c r="C103" s="1104"/>
      <c r="D103" s="1105"/>
      <c r="E103" s="1151"/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</row>
    <row r="104" spans="1:17" x14ac:dyDescent="0.3">
      <c r="A104" s="5"/>
      <c r="B104" s="1124" t="s">
        <v>88</v>
      </c>
      <c r="C104" s="1125"/>
      <c r="D104" s="1125"/>
      <c r="E104" s="1125"/>
      <c r="F104" s="1125"/>
      <c r="G104" s="1125"/>
      <c r="H104" s="1125"/>
      <c r="I104" s="1125"/>
      <c r="J104" s="1125"/>
      <c r="K104" s="1125"/>
      <c r="L104" s="1125"/>
      <c r="M104" s="1125"/>
      <c r="N104" s="1125"/>
      <c r="O104" s="1125"/>
      <c r="P104" s="1125"/>
      <c r="Q104" s="1126"/>
    </row>
    <row r="105" spans="1:17" x14ac:dyDescent="0.3">
      <c r="A105" s="5"/>
      <c r="B105" s="1116" t="s">
        <v>87</v>
      </c>
      <c r="C105" s="1117"/>
      <c r="D105" s="1117"/>
      <c r="E105" s="1117"/>
      <c r="F105" s="1117"/>
      <c r="G105" s="1117"/>
      <c r="H105" s="1117"/>
      <c r="I105" s="1117"/>
      <c r="J105" s="1117"/>
      <c r="K105" s="1117"/>
      <c r="L105" s="1117"/>
      <c r="M105" s="1117"/>
      <c r="N105" s="1117"/>
      <c r="O105" s="1117"/>
      <c r="P105" s="1117"/>
      <c r="Q105" s="1118"/>
    </row>
    <row r="106" spans="1:17" s="2" customFormat="1" ht="24" customHeight="1" x14ac:dyDescent="0.25">
      <c r="A106" s="6"/>
      <c r="B106" s="72" t="s">
        <v>83</v>
      </c>
      <c r="C106" s="1104"/>
      <c r="D106" s="1105"/>
      <c r="E106" s="69"/>
      <c r="F106" s="24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s="2" customFormat="1" ht="24" customHeight="1" x14ac:dyDescent="0.25">
      <c r="A107" s="6"/>
      <c r="B107" s="48" t="s">
        <v>84</v>
      </c>
      <c r="C107" s="1104"/>
      <c r="D107" s="1105"/>
      <c r="E107" s="69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5"/>
    </row>
    <row r="108" spans="1:17" s="2" customFormat="1" ht="24" customHeight="1" x14ac:dyDescent="0.25">
      <c r="A108" s="6"/>
      <c r="B108" s="48" t="s">
        <v>85</v>
      </c>
      <c r="C108" s="1104"/>
      <c r="D108" s="1105"/>
      <c r="E108" s="69"/>
      <c r="F108" s="43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5"/>
    </row>
    <row r="109" spans="1:17" s="2" customFormat="1" ht="24" customHeight="1" x14ac:dyDescent="0.25">
      <c r="A109" s="6"/>
      <c r="B109" s="71" t="s">
        <v>86</v>
      </c>
      <c r="C109" s="1104"/>
      <c r="D109" s="1105"/>
      <c r="E109" s="69"/>
      <c r="F109" s="106"/>
      <c r="G109" s="107"/>
      <c r="H109" s="107"/>
      <c r="I109" s="107"/>
      <c r="J109" s="107"/>
      <c r="K109" s="107"/>
      <c r="L109" s="107"/>
      <c r="M109" s="107"/>
      <c r="N109" s="107"/>
      <c r="O109" s="108"/>
      <c r="P109" s="107"/>
      <c r="Q109" s="32"/>
    </row>
    <row r="110" spans="1:17" x14ac:dyDescent="0.3">
      <c r="A110" s="5"/>
      <c r="B110" s="1116" t="s">
        <v>89</v>
      </c>
      <c r="C110" s="1117"/>
      <c r="D110" s="1117"/>
      <c r="E110" s="1117"/>
      <c r="F110" s="1117"/>
      <c r="G110" s="1117"/>
      <c r="H110" s="1117"/>
      <c r="I110" s="1117"/>
      <c r="J110" s="1117"/>
      <c r="K110" s="1117"/>
      <c r="L110" s="1117"/>
      <c r="M110" s="1117"/>
      <c r="N110" s="1117"/>
      <c r="O110" s="1117"/>
      <c r="P110" s="1117"/>
      <c r="Q110" s="1118"/>
    </row>
    <row r="111" spans="1:17" s="2" customFormat="1" ht="24" customHeight="1" x14ac:dyDescent="0.25">
      <c r="A111" s="6"/>
      <c r="B111" s="72" t="s">
        <v>90</v>
      </c>
      <c r="C111" s="1104"/>
      <c r="D111" s="1105"/>
      <c r="E111" s="69"/>
      <c r="F111" s="24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6"/>
    </row>
    <row r="112" spans="1:17" s="2" customFormat="1" ht="39.6" customHeight="1" x14ac:dyDescent="0.25">
      <c r="A112" s="6"/>
      <c r="B112" s="109" t="s">
        <v>91</v>
      </c>
      <c r="C112" s="1140"/>
      <c r="D112" s="1141"/>
      <c r="E112" s="69"/>
      <c r="F112" s="110"/>
      <c r="G112" s="111"/>
      <c r="H112" s="111"/>
      <c r="I112" s="111"/>
      <c r="J112" s="111"/>
      <c r="K112" s="111"/>
      <c r="L112" s="111"/>
      <c r="M112" s="111"/>
      <c r="N112" s="111"/>
      <c r="O112" s="111"/>
      <c r="P112" s="36"/>
      <c r="Q112" s="112"/>
    </row>
    <row r="113" spans="1:17" s="2" customFormat="1" ht="24" customHeight="1" x14ac:dyDescent="0.25">
      <c r="A113" s="6"/>
      <c r="B113" s="71" t="s">
        <v>92</v>
      </c>
      <c r="C113" s="1140"/>
      <c r="D113" s="1141"/>
      <c r="E113" s="69"/>
      <c r="F113" s="113"/>
      <c r="G113" s="114"/>
      <c r="H113" s="114"/>
      <c r="I113" s="114"/>
      <c r="J113" s="114"/>
      <c r="K113" s="114"/>
      <c r="L113" s="114"/>
      <c r="M113" s="114"/>
      <c r="N113" s="114"/>
      <c r="O113" s="114"/>
      <c r="P113" s="36"/>
      <c r="Q113" s="115"/>
    </row>
    <row r="114" spans="1:17" s="2" customFormat="1" ht="24" customHeight="1" x14ac:dyDescent="0.25">
      <c r="A114" s="6"/>
      <c r="B114" s="70" t="s">
        <v>132</v>
      </c>
      <c r="C114" s="73"/>
      <c r="D114" s="116"/>
      <c r="E114" s="169"/>
      <c r="F114" s="117"/>
      <c r="G114" s="79"/>
      <c r="H114" s="79"/>
      <c r="I114" s="79"/>
      <c r="J114" s="79"/>
      <c r="K114" s="79"/>
      <c r="L114" s="79"/>
      <c r="M114" s="79"/>
      <c r="N114" s="79"/>
      <c r="O114" s="79"/>
      <c r="P114" s="36"/>
      <c r="Q114" s="80"/>
    </row>
    <row r="115" spans="1:17" s="2" customFormat="1" ht="24" customHeight="1" x14ac:dyDescent="0.25">
      <c r="A115" s="6"/>
      <c r="B115" s="118" t="s">
        <v>133</v>
      </c>
      <c r="C115" s="119"/>
      <c r="D115" s="120"/>
      <c r="E115" s="170"/>
      <c r="F115" s="121"/>
      <c r="G115" s="122"/>
      <c r="H115" s="122"/>
      <c r="I115" s="122"/>
      <c r="J115" s="122"/>
      <c r="K115" s="122"/>
      <c r="L115" s="122"/>
      <c r="M115" s="122"/>
      <c r="N115" s="122"/>
      <c r="O115" s="122"/>
      <c r="P115" s="36"/>
      <c r="Q115" s="123"/>
    </row>
    <row r="116" spans="1:17" x14ac:dyDescent="0.3">
      <c r="A116" s="5"/>
      <c r="B116" s="1098" t="s">
        <v>93</v>
      </c>
      <c r="C116" s="1099"/>
      <c r="D116" s="1099"/>
      <c r="E116" s="1099"/>
      <c r="F116" s="1099"/>
      <c r="G116" s="1099"/>
      <c r="H116" s="1099"/>
      <c r="I116" s="1099"/>
      <c r="J116" s="1099"/>
      <c r="K116" s="1099"/>
      <c r="L116" s="1099"/>
      <c r="M116" s="1099"/>
      <c r="N116" s="1099"/>
      <c r="O116" s="1099"/>
      <c r="P116" s="1099"/>
      <c r="Q116" s="1100"/>
    </row>
    <row r="117" spans="1:17" x14ac:dyDescent="0.3">
      <c r="A117" s="5"/>
      <c r="B117" s="1124" t="s">
        <v>94</v>
      </c>
      <c r="C117" s="1125"/>
      <c r="D117" s="1125"/>
      <c r="E117" s="1125"/>
      <c r="F117" s="1125"/>
      <c r="G117" s="1125"/>
      <c r="H117" s="1125"/>
      <c r="I117" s="1125"/>
      <c r="J117" s="1125"/>
      <c r="K117" s="1125"/>
      <c r="L117" s="1125"/>
      <c r="M117" s="1125"/>
      <c r="N117" s="1125"/>
      <c r="O117" s="1125"/>
      <c r="P117" s="1125"/>
      <c r="Q117" s="1126"/>
    </row>
    <row r="118" spans="1:17" s="2" customFormat="1" ht="24" customHeight="1" x14ac:dyDescent="0.25">
      <c r="A118" s="6"/>
      <c r="B118" s="72" t="s">
        <v>125</v>
      </c>
      <c r="C118" s="124"/>
      <c r="D118" s="125"/>
      <c r="E118" s="171"/>
      <c r="F118" s="126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8"/>
    </row>
    <row r="119" spans="1:17" s="2" customFormat="1" ht="24" customHeight="1" x14ac:dyDescent="0.25">
      <c r="A119" s="6"/>
      <c r="B119" s="129" t="s">
        <v>126</v>
      </c>
      <c r="C119" s="124"/>
      <c r="D119" s="125"/>
      <c r="E119" s="171"/>
      <c r="F119" s="126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8"/>
    </row>
    <row r="120" spans="1:17" s="2" customFormat="1" ht="24" customHeight="1" x14ac:dyDescent="0.25">
      <c r="A120" s="6"/>
      <c r="B120" s="48" t="s">
        <v>127</v>
      </c>
      <c r="C120" s="130"/>
      <c r="D120" s="131"/>
      <c r="E120" s="172"/>
      <c r="F120" s="132"/>
      <c r="G120" s="133"/>
      <c r="H120" s="133"/>
      <c r="I120" s="133"/>
      <c r="J120" s="133"/>
      <c r="K120" s="133"/>
      <c r="L120" s="133"/>
      <c r="M120" s="133"/>
      <c r="N120" s="134"/>
      <c r="O120" s="133"/>
      <c r="P120" s="133"/>
      <c r="Q120" s="135"/>
    </row>
    <row r="121" spans="1:17" s="2" customFormat="1" ht="24" customHeight="1" x14ac:dyDescent="0.25">
      <c r="A121" s="6"/>
      <c r="B121" s="48" t="s">
        <v>128</v>
      </c>
      <c r="C121" s="130"/>
      <c r="D121" s="131"/>
      <c r="E121" s="172"/>
      <c r="F121" s="132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5"/>
    </row>
    <row r="122" spans="1:17" s="2" customFormat="1" ht="24" customHeight="1" x14ac:dyDescent="0.25">
      <c r="A122" s="6"/>
      <c r="B122" s="48" t="s">
        <v>129</v>
      </c>
      <c r="C122" s="130"/>
      <c r="D122" s="131"/>
      <c r="E122" s="172"/>
      <c r="F122" s="132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5"/>
    </row>
    <row r="123" spans="1:17" s="2" customFormat="1" ht="24" customHeight="1" x14ac:dyDescent="0.25">
      <c r="A123" s="6"/>
      <c r="B123" s="48" t="s">
        <v>130</v>
      </c>
      <c r="C123" s="130"/>
      <c r="D123" s="131"/>
      <c r="E123" s="172"/>
      <c r="F123" s="132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5"/>
    </row>
    <row r="124" spans="1:17" s="2" customFormat="1" ht="24" customHeight="1" x14ac:dyDescent="0.25">
      <c r="A124" s="6"/>
      <c r="B124" s="47" t="s">
        <v>131</v>
      </c>
      <c r="C124" s="136"/>
      <c r="D124" s="137"/>
      <c r="E124" s="173"/>
      <c r="F124" s="138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40"/>
    </row>
    <row r="125" spans="1:17" x14ac:dyDescent="0.3">
      <c r="A125" s="5"/>
      <c r="B125" s="1124" t="s">
        <v>95</v>
      </c>
      <c r="C125" s="1125"/>
      <c r="D125" s="1125"/>
      <c r="E125" s="1125"/>
      <c r="F125" s="1125"/>
      <c r="G125" s="1125"/>
      <c r="H125" s="1125"/>
      <c r="I125" s="1125"/>
      <c r="J125" s="1125"/>
      <c r="K125" s="1125"/>
      <c r="L125" s="1125"/>
      <c r="M125" s="1125"/>
      <c r="N125" s="1125"/>
      <c r="O125" s="1125"/>
      <c r="P125" s="1125"/>
      <c r="Q125" s="1126"/>
    </row>
    <row r="126" spans="1:17" s="2" customFormat="1" ht="24" customHeight="1" x14ac:dyDescent="0.25">
      <c r="A126" s="6"/>
      <c r="B126" s="72" t="s">
        <v>96</v>
      </c>
      <c r="C126" s="73"/>
      <c r="D126" s="40"/>
      <c r="E126" s="159"/>
      <c r="F126" s="74"/>
      <c r="G126" s="75"/>
      <c r="H126" s="75"/>
      <c r="I126" s="75"/>
      <c r="J126" s="75"/>
      <c r="K126" s="75"/>
      <c r="L126" s="75"/>
      <c r="M126" s="75"/>
      <c r="N126" s="75"/>
      <c r="O126" s="75"/>
      <c r="P126" s="25"/>
      <c r="Q126" s="26"/>
    </row>
    <row r="127" spans="1:17" s="2" customFormat="1" ht="24" customHeight="1" x14ac:dyDescent="0.25">
      <c r="A127" s="6"/>
      <c r="B127" s="129" t="s">
        <v>97</v>
      </c>
      <c r="C127" s="73"/>
      <c r="D127" s="40"/>
      <c r="E127" s="159"/>
      <c r="F127" s="74"/>
      <c r="G127" s="75"/>
      <c r="H127" s="75"/>
      <c r="I127" s="75"/>
      <c r="J127" s="75"/>
      <c r="K127" s="75"/>
      <c r="L127" s="75"/>
      <c r="M127" s="75"/>
      <c r="N127" s="75"/>
      <c r="O127" s="75"/>
      <c r="P127" s="25"/>
      <c r="Q127" s="26"/>
    </row>
    <row r="128" spans="1:17" s="2" customFormat="1" ht="24" customHeight="1" x14ac:dyDescent="0.25">
      <c r="A128" s="6"/>
      <c r="B128" s="48" t="s">
        <v>134</v>
      </c>
      <c r="C128" s="77"/>
      <c r="D128" s="42"/>
      <c r="E128" s="163"/>
      <c r="F128" s="78"/>
      <c r="G128" s="79"/>
      <c r="H128" s="79"/>
      <c r="I128" s="79"/>
      <c r="J128" s="79"/>
      <c r="K128" s="79"/>
      <c r="L128" s="79"/>
      <c r="M128" s="79"/>
      <c r="N128" s="79"/>
      <c r="O128" s="79"/>
      <c r="P128" s="44"/>
      <c r="Q128" s="45"/>
    </row>
    <row r="129" spans="1:17" s="2" customFormat="1" ht="24" customHeight="1" x14ac:dyDescent="0.25">
      <c r="A129" s="6"/>
      <c r="B129" s="70" t="s">
        <v>135</v>
      </c>
      <c r="C129" s="77"/>
      <c r="D129" s="42"/>
      <c r="E129" s="163"/>
      <c r="F129" s="78"/>
      <c r="G129" s="79"/>
      <c r="H129" s="79"/>
      <c r="I129" s="79"/>
      <c r="J129" s="79"/>
      <c r="K129" s="79"/>
      <c r="L129" s="79"/>
      <c r="M129" s="79"/>
      <c r="N129" s="79"/>
      <c r="O129" s="79"/>
      <c r="P129" s="44"/>
      <c r="Q129" s="45"/>
    </row>
    <row r="130" spans="1:17" s="2" customFormat="1" ht="24" customHeight="1" x14ac:dyDescent="0.25">
      <c r="A130" s="6"/>
      <c r="B130" s="48" t="s">
        <v>98</v>
      </c>
      <c r="C130" s="77"/>
      <c r="D130" s="42"/>
      <c r="E130" s="163"/>
      <c r="F130" s="81"/>
      <c r="G130" s="37"/>
      <c r="H130" s="37"/>
      <c r="I130" s="37"/>
      <c r="J130" s="37"/>
      <c r="K130" s="37"/>
      <c r="L130" s="37"/>
      <c r="M130" s="37"/>
      <c r="N130" s="37"/>
      <c r="O130" s="37"/>
      <c r="P130" s="31"/>
      <c r="Q130" s="32"/>
    </row>
    <row r="131" spans="1:17" s="2" customFormat="1" ht="24" customHeight="1" x14ac:dyDescent="0.25">
      <c r="A131" s="6"/>
      <c r="B131" s="47" t="s">
        <v>118</v>
      </c>
      <c r="C131" s="141"/>
      <c r="D131" s="142"/>
      <c r="E131" s="174"/>
      <c r="F131" s="113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5"/>
    </row>
    <row r="132" spans="1:17" x14ac:dyDescent="0.3">
      <c r="A132" s="5"/>
      <c r="B132" s="1124" t="s">
        <v>99</v>
      </c>
      <c r="C132" s="1125"/>
      <c r="D132" s="1125"/>
      <c r="E132" s="1125"/>
      <c r="F132" s="1125"/>
      <c r="G132" s="1125"/>
      <c r="H132" s="1125"/>
      <c r="I132" s="1125"/>
      <c r="J132" s="1125"/>
      <c r="K132" s="1125"/>
      <c r="L132" s="1125"/>
      <c r="M132" s="1125"/>
      <c r="N132" s="1125"/>
      <c r="O132" s="1125"/>
      <c r="P132" s="1125"/>
      <c r="Q132" s="1126"/>
    </row>
    <row r="133" spans="1:17" s="2" customFormat="1" ht="24" customHeight="1" x14ac:dyDescent="0.25">
      <c r="A133" s="6"/>
      <c r="B133" s="72" t="s">
        <v>106</v>
      </c>
      <c r="C133" s="61"/>
      <c r="D133" s="62"/>
      <c r="E133" s="161"/>
      <c r="F133" s="24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143"/>
    </row>
    <row r="134" spans="1:17" s="2" customFormat="1" ht="36" customHeight="1" x14ac:dyDescent="0.25">
      <c r="A134" s="6"/>
      <c r="B134" s="41" t="s">
        <v>100</v>
      </c>
      <c r="C134" s="51"/>
      <c r="D134" s="52"/>
      <c r="E134" s="162"/>
      <c r="F134" s="43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5"/>
    </row>
    <row r="135" spans="1:17" s="2" customFormat="1" ht="24" customHeight="1" x14ac:dyDescent="0.25">
      <c r="A135" s="6"/>
      <c r="B135" s="41" t="s">
        <v>101</v>
      </c>
      <c r="C135" s="51"/>
      <c r="D135" s="52"/>
      <c r="E135" s="162"/>
      <c r="F135" s="43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5"/>
    </row>
    <row r="136" spans="1:17" s="2" customFormat="1" ht="33.6" customHeight="1" x14ac:dyDescent="0.25">
      <c r="A136" s="6"/>
      <c r="B136" s="41" t="s">
        <v>102</v>
      </c>
      <c r="C136" s="51"/>
      <c r="D136" s="52"/>
      <c r="E136" s="162"/>
      <c r="F136" s="43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5"/>
    </row>
    <row r="137" spans="1:17" s="2" customFormat="1" ht="24" customHeight="1" x14ac:dyDescent="0.25">
      <c r="A137" s="6"/>
      <c r="B137" s="41" t="s">
        <v>103</v>
      </c>
      <c r="C137" s="51"/>
      <c r="D137" s="52"/>
      <c r="E137" s="162"/>
      <c r="F137" s="43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5"/>
    </row>
    <row r="138" spans="1:17" s="2" customFormat="1" ht="24" customHeight="1" x14ac:dyDescent="0.25">
      <c r="A138" s="6"/>
      <c r="B138" s="48" t="s">
        <v>104</v>
      </c>
      <c r="C138" s="51"/>
      <c r="D138" s="52"/>
      <c r="E138" s="162"/>
      <c r="F138" s="43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5"/>
    </row>
    <row r="139" spans="1:17" s="2" customFormat="1" ht="24" customHeight="1" x14ac:dyDescent="0.25">
      <c r="A139" s="6"/>
      <c r="B139" s="82" t="s">
        <v>105</v>
      </c>
      <c r="C139" s="64"/>
      <c r="D139" s="65"/>
      <c r="E139" s="165"/>
      <c r="F139" s="66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8"/>
    </row>
    <row r="140" spans="1:17" x14ac:dyDescent="0.3">
      <c r="A140" s="5"/>
      <c r="B140" s="1098" t="s">
        <v>107</v>
      </c>
      <c r="C140" s="1099"/>
      <c r="D140" s="1099"/>
      <c r="E140" s="1099"/>
      <c r="F140" s="1099"/>
      <c r="G140" s="1099"/>
      <c r="H140" s="1099"/>
      <c r="I140" s="1099"/>
      <c r="J140" s="1099"/>
      <c r="K140" s="1099"/>
      <c r="L140" s="1099"/>
      <c r="M140" s="1099"/>
      <c r="N140" s="1099"/>
      <c r="O140" s="1099"/>
      <c r="P140" s="1099"/>
      <c r="Q140" s="1100"/>
    </row>
    <row r="141" spans="1:17" s="2" customFormat="1" ht="24" customHeight="1" x14ac:dyDescent="0.25">
      <c r="A141" s="6"/>
      <c r="B141" s="72" t="s">
        <v>124</v>
      </c>
      <c r="C141" s="144"/>
      <c r="D141" s="145"/>
      <c r="E141" s="177"/>
      <c r="F141" s="146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8"/>
    </row>
    <row r="142" spans="1:17" x14ac:dyDescent="0.3">
      <c r="A142" s="5"/>
      <c r="B142" s="1143"/>
      <c r="C142" s="1144"/>
      <c r="D142" s="1144"/>
      <c r="E142" s="1144"/>
      <c r="F142" s="1144"/>
      <c r="G142" s="1144"/>
      <c r="H142" s="1144"/>
      <c r="I142" s="1144"/>
      <c r="J142" s="1144"/>
      <c r="K142" s="1144"/>
      <c r="L142" s="1144"/>
      <c r="M142" s="1144"/>
      <c r="N142" s="1144"/>
      <c r="O142" s="1144"/>
      <c r="P142" s="1144"/>
      <c r="Q142" s="1145"/>
    </row>
    <row r="143" spans="1:17" x14ac:dyDescent="0.3">
      <c r="A143" s="5"/>
      <c r="B143" s="1146" t="s">
        <v>108</v>
      </c>
      <c r="C143" s="1147"/>
      <c r="D143" s="1147"/>
      <c r="E143" s="1147"/>
      <c r="F143" s="1147"/>
      <c r="G143" s="1147"/>
      <c r="H143" s="1147"/>
      <c r="I143" s="1147"/>
      <c r="J143" s="1147"/>
      <c r="K143" s="1147"/>
      <c r="L143" s="1147"/>
      <c r="M143" s="1147"/>
      <c r="N143" s="1147"/>
      <c r="O143" s="1147"/>
      <c r="P143" s="1147"/>
      <c r="Q143" s="1148"/>
    </row>
    <row r="144" spans="1:17" s="2" customFormat="1" ht="24" customHeight="1" x14ac:dyDescent="0.25">
      <c r="A144" s="6"/>
      <c r="B144" s="149" t="s">
        <v>109</v>
      </c>
      <c r="C144" s="150"/>
      <c r="D144" s="151"/>
      <c r="E144" s="175"/>
      <c r="F144" s="1168"/>
      <c r="G144" s="1169"/>
      <c r="H144" s="1169"/>
      <c r="I144" s="1169"/>
      <c r="J144" s="1169"/>
      <c r="K144" s="1169"/>
      <c r="L144" s="1169"/>
      <c r="M144" s="1169"/>
      <c r="N144" s="1169"/>
      <c r="O144" s="1169"/>
      <c r="P144" s="1169"/>
      <c r="Q144" s="1176"/>
    </row>
    <row r="145" spans="1:17" ht="37.5" x14ac:dyDescent="0.3">
      <c r="A145" s="8"/>
      <c r="B145" s="152" t="s">
        <v>119</v>
      </c>
      <c r="C145" s="64"/>
      <c r="D145" s="65"/>
      <c r="E145" s="176"/>
      <c r="F145" s="1171"/>
      <c r="G145" s="1172"/>
      <c r="H145" s="1172"/>
      <c r="I145" s="1172"/>
      <c r="J145" s="1172"/>
      <c r="K145" s="1172"/>
      <c r="L145" s="1172"/>
      <c r="M145" s="1172"/>
      <c r="N145" s="1172"/>
      <c r="O145" s="1172"/>
      <c r="P145" s="1172"/>
      <c r="Q145" s="1177"/>
    </row>
  </sheetData>
  <mergeCells count="49">
    <mergeCell ref="B132:Q132"/>
    <mergeCell ref="B140:Q140"/>
    <mergeCell ref="B142:Q142"/>
    <mergeCell ref="B143:Q143"/>
    <mergeCell ref="F144:Q145"/>
    <mergeCell ref="B125:Q125"/>
    <mergeCell ref="B100:Q100"/>
    <mergeCell ref="C101:D103"/>
    <mergeCell ref="E101:E103"/>
    <mergeCell ref="B104:Q104"/>
    <mergeCell ref="B105:Q105"/>
    <mergeCell ref="C106:D109"/>
    <mergeCell ref="B110:Q110"/>
    <mergeCell ref="C111:D111"/>
    <mergeCell ref="C112:D113"/>
    <mergeCell ref="B116:Q116"/>
    <mergeCell ref="B117:Q117"/>
    <mergeCell ref="C97:D99"/>
    <mergeCell ref="E97:E99"/>
    <mergeCell ref="C55:D58"/>
    <mergeCell ref="B59:Q59"/>
    <mergeCell ref="C60:D62"/>
    <mergeCell ref="B63:Q63"/>
    <mergeCell ref="C64:D77"/>
    <mergeCell ref="F72:Q73"/>
    <mergeCell ref="B78:Q78"/>
    <mergeCell ref="B88:Q88"/>
    <mergeCell ref="B89:Q89"/>
    <mergeCell ref="C90:D95"/>
    <mergeCell ref="B96:Q96"/>
    <mergeCell ref="B53:Q53"/>
    <mergeCell ref="C15:D21"/>
    <mergeCell ref="E15:E21"/>
    <mergeCell ref="C22:D23"/>
    <mergeCell ref="C25:D30"/>
    <mergeCell ref="B31:Q31"/>
    <mergeCell ref="C35:D36"/>
    <mergeCell ref="E35:E36"/>
    <mergeCell ref="B39:Q39"/>
    <mergeCell ref="C40:D40"/>
    <mergeCell ref="C42:D43"/>
    <mergeCell ref="B45:Q45"/>
    <mergeCell ref="B52:Q52"/>
    <mergeCell ref="B14:Q14"/>
    <mergeCell ref="C1:D1"/>
    <mergeCell ref="B3:Q3"/>
    <mergeCell ref="B4:Q4"/>
    <mergeCell ref="B5:Q5"/>
    <mergeCell ref="B9:Q9"/>
  </mergeCells>
  <pageMargins left="0.15" right="0.15" top="0.65" bottom="0.2" header="0.15" footer="0.15"/>
  <pageSetup scale="60" fitToHeight="0" orientation="landscape" r:id="rId1"/>
  <headerFooter>
    <oddHeader>&amp;C&amp;"-,Bold"&amp;14Durham County Department of Social Services
Management Data FY 14</oddHeader>
    <oddFooter>&amp;CPage &amp;P of &amp;N&amp;RLast Updated 6/2/2014</oddFooter>
  </headerFooter>
  <rowBreaks count="4" manualBreakCount="4">
    <brk id="30" min="1" max="16" man="1"/>
    <brk id="62" min="1" max="16" man="1"/>
    <brk id="87" min="1" max="16" man="1"/>
    <brk id="115" min="1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workbookViewId="0">
      <selection activeCell="U26" sqref="U26"/>
    </sheetView>
  </sheetViews>
  <sheetFormatPr defaultRowHeight="15" x14ac:dyDescent="0.25"/>
  <sheetData>
    <row r="1" spans="1:10" x14ac:dyDescent="0.25">
      <c r="A1" s="1178" t="s">
        <v>150</v>
      </c>
      <c r="B1" s="1178"/>
      <c r="C1" s="1178"/>
      <c r="D1" s="1178"/>
      <c r="E1" s="1178"/>
      <c r="F1" s="1178"/>
      <c r="G1" s="1178"/>
      <c r="H1" s="1178"/>
      <c r="I1" s="1178"/>
      <c r="J1" s="1178"/>
    </row>
    <row r="2" spans="1:10" x14ac:dyDescent="0.25">
      <c r="A2" s="178"/>
      <c r="B2" s="178"/>
      <c r="C2" s="1179" t="s">
        <v>152</v>
      </c>
      <c r="D2" s="1179"/>
      <c r="E2" s="1179"/>
      <c r="F2" s="1179"/>
    </row>
    <row r="3" spans="1:10" x14ac:dyDescent="0.25">
      <c r="A3" s="179"/>
      <c r="B3" s="179"/>
      <c r="C3" s="180" t="s">
        <v>151</v>
      </c>
    </row>
    <row r="4" spans="1:10" x14ac:dyDescent="0.25">
      <c r="A4" s="182"/>
      <c r="B4" s="182"/>
      <c r="C4" s="180" t="s">
        <v>153</v>
      </c>
    </row>
    <row r="5" spans="1:10" x14ac:dyDescent="0.25">
      <c r="A5" s="181"/>
      <c r="B5" s="181"/>
      <c r="C5" s="180" t="s">
        <v>154</v>
      </c>
    </row>
  </sheetData>
  <mergeCells count="2">
    <mergeCell ref="A1:J1"/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3690-7ECC-44D1-926D-89ADB8B0D85F}">
  <sheetPr>
    <pageSetUpPr fitToPage="1"/>
  </sheetPr>
  <dimension ref="A1:U238"/>
  <sheetViews>
    <sheetView topLeftCell="B1" zoomScaleNormal="100" workbookViewId="0">
      <pane xSplit="6" ySplit="5" topLeftCell="L98" activePane="bottomRight" state="frozen"/>
      <selection activeCell="B1" sqref="B1"/>
      <selection pane="topRight" activeCell="G1" sqref="G1"/>
      <selection pane="bottomLeft" activeCell="B6" sqref="B6"/>
      <selection pane="bottomRight" activeCell="Q130" sqref="Q130:S130"/>
    </sheetView>
  </sheetViews>
  <sheetFormatPr defaultColWidth="8.85546875" defaultRowHeight="12.75" x14ac:dyDescent="0.25"/>
  <cols>
    <col min="1" max="1" width="9.140625" style="518" hidden="1" customWidth="1"/>
    <col min="2" max="2" width="53.140625" style="518" customWidth="1"/>
    <col min="3" max="3" width="0.140625" style="518" hidden="1" customWidth="1"/>
    <col min="4" max="4" width="15" style="875" hidden="1" customWidth="1"/>
    <col min="5" max="5" width="9.140625" style="696" customWidth="1"/>
    <col min="6" max="6" width="10.5703125" style="696" customWidth="1"/>
    <col min="7" max="7" width="13.5703125" style="653" customWidth="1"/>
    <col min="8" max="8" width="13.5703125" style="696" customWidth="1"/>
    <col min="9" max="9" width="14.7109375" style="696" customWidth="1"/>
    <col min="10" max="10" width="15.5703125" style="696" customWidth="1"/>
    <col min="11" max="11" width="14.85546875" style="696" customWidth="1"/>
    <col min="12" max="12" width="17.28515625" style="696" customWidth="1"/>
    <col min="13" max="13" width="17.7109375" style="923" customWidth="1"/>
    <col min="14" max="14" width="14.5703125" style="696" customWidth="1"/>
    <col min="15" max="18" width="12.7109375" style="696" customWidth="1"/>
    <col min="19" max="19" width="12.140625" style="696" customWidth="1"/>
    <col min="20" max="20" width="11" style="518" bestFit="1" customWidth="1"/>
    <col min="21" max="16384" width="8.85546875" style="518"/>
  </cols>
  <sheetData>
    <row r="1" spans="1:21" s="768" customFormat="1" ht="15.95" customHeight="1" x14ac:dyDescent="0.25">
      <c r="A1" s="764"/>
      <c r="B1" s="765"/>
      <c r="C1" s="765" t="s">
        <v>389</v>
      </c>
      <c r="D1" s="864"/>
      <c r="E1" s="1083" t="s">
        <v>262</v>
      </c>
      <c r="F1" s="1084"/>
      <c r="G1" s="504" t="s">
        <v>123</v>
      </c>
      <c r="H1" s="766"/>
      <c r="I1" s="766"/>
      <c r="J1" s="766"/>
      <c r="K1" s="766"/>
      <c r="L1" s="766"/>
      <c r="M1" s="973"/>
      <c r="N1" s="766"/>
      <c r="O1" s="766"/>
      <c r="P1" s="766"/>
      <c r="Q1" s="766"/>
      <c r="R1" s="766"/>
      <c r="S1" s="767"/>
    </row>
    <row r="2" spans="1:21" s="768" customFormat="1" ht="28.5" customHeight="1" x14ac:dyDescent="0.25">
      <c r="A2" s="769"/>
      <c r="B2" s="770"/>
      <c r="C2" s="770"/>
      <c r="D2" s="886"/>
      <c r="E2" s="771" t="s">
        <v>406</v>
      </c>
      <c r="F2" s="772" t="s">
        <v>414</v>
      </c>
      <c r="G2" s="773" t="s">
        <v>418</v>
      </c>
      <c r="H2" s="774" t="s">
        <v>6</v>
      </c>
      <c r="I2" s="771" t="s">
        <v>7</v>
      </c>
      <c r="J2" s="771" t="s">
        <v>8</v>
      </c>
      <c r="K2" s="771" t="s">
        <v>9</v>
      </c>
      <c r="L2" s="771" t="s">
        <v>10</v>
      </c>
      <c r="M2" s="974" t="s">
        <v>11</v>
      </c>
      <c r="N2" s="771" t="s">
        <v>12</v>
      </c>
      <c r="O2" s="771" t="s">
        <v>13</v>
      </c>
      <c r="P2" s="771" t="s">
        <v>14</v>
      </c>
      <c r="Q2" s="771" t="s">
        <v>15</v>
      </c>
      <c r="R2" s="771" t="s">
        <v>16</v>
      </c>
      <c r="S2" s="771" t="s">
        <v>17</v>
      </c>
    </row>
    <row r="3" spans="1:21" s="655" customFormat="1" ht="15.95" customHeight="1" x14ac:dyDescent="0.25">
      <c r="A3" s="654"/>
      <c r="B3" s="1054" t="s">
        <v>264</v>
      </c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6"/>
    </row>
    <row r="4" spans="1:21" s="655" customFormat="1" ht="15.95" customHeight="1" x14ac:dyDescent="0.25">
      <c r="A4" s="654"/>
      <c r="B4" s="1085"/>
      <c r="C4" s="1086"/>
      <c r="D4" s="1086"/>
      <c r="E4" s="1086"/>
      <c r="F4" s="1086"/>
      <c r="G4" s="1086"/>
      <c r="H4" s="1086"/>
      <c r="I4" s="1086"/>
      <c r="J4" s="1086"/>
      <c r="K4" s="1086"/>
      <c r="L4" s="1086"/>
      <c r="M4" s="1086"/>
      <c r="N4" s="1086"/>
      <c r="O4" s="1086"/>
      <c r="P4" s="1086"/>
      <c r="Q4" s="1086"/>
      <c r="R4" s="1086"/>
      <c r="S4" s="1087"/>
    </row>
    <row r="5" spans="1:21" s="655" customFormat="1" ht="15.95" customHeight="1" x14ac:dyDescent="0.25">
      <c r="A5" s="654"/>
      <c r="B5" s="1088" t="s">
        <v>18</v>
      </c>
      <c r="C5" s="1089"/>
      <c r="D5" s="1089"/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089"/>
      <c r="R5" s="1089"/>
      <c r="S5" s="1090"/>
    </row>
    <row r="6" spans="1:21" ht="15" customHeight="1" x14ac:dyDescent="0.25">
      <c r="A6" s="516"/>
      <c r="B6" s="509" t="s">
        <v>282</v>
      </c>
      <c r="C6" s="902" t="s">
        <v>391</v>
      </c>
      <c r="D6" s="871"/>
      <c r="E6" s="653">
        <v>3067</v>
      </c>
      <c r="F6" s="653">
        <v>3153</v>
      </c>
      <c r="G6" s="510">
        <f t="shared" ref="G6:G12" si="0">SUM(H6:S6)</f>
        <v>3181</v>
      </c>
      <c r="H6" s="511">
        <v>251</v>
      </c>
      <c r="I6" s="512">
        <v>262</v>
      </c>
      <c r="J6" s="512">
        <v>238</v>
      </c>
      <c r="K6" s="512">
        <v>287</v>
      </c>
      <c r="L6" s="512">
        <v>241</v>
      </c>
      <c r="M6" s="512">
        <v>220</v>
      </c>
      <c r="N6" s="512">
        <v>282</v>
      </c>
      <c r="O6" s="512">
        <v>265</v>
      </c>
      <c r="P6" s="512">
        <v>298</v>
      </c>
      <c r="Q6" s="512">
        <v>273</v>
      </c>
      <c r="R6" s="512">
        <v>327</v>
      </c>
      <c r="S6" s="513">
        <v>237</v>
      </c>
    </row>
    <row r="7" spans="1:21" ht="15" customHeight="1" x14ac:dyDescent="0.25">
      <c r="A7" s="516"/>
      <c r="B7" s="514" t="s">
        <v>263</v>
      </c>
      <c r="C7" s="902" t="s">
        <v>391</v>
      </c>
      <c r="D7" s="872"/>
      <c r="E7" s="653">
        <v>1429</v>
      </c>
      <c r="F7" s="653">
        <v>1390</v>
      </c>
      <c r="G7" s="510">
        <f t="shared" si="0"/>
        <v>1519</v>
      </c>
      <c r="H7" s="511">
        <v>96</v>
      </c>
      <c r="I7" s="512">
        <v>119</v>
      </c>
      <c r="J7" s="512">
        <v>112</v>
      </c>
      <c r="K7" s="512">
        <v>132</v>
      </c>
      <c r="L7" s="512">
        <v>123</v>
      </c>
      <c r="M7" s="512">
        <v>106</v>
      </c>
      <c r="N7" s="512">
        <v>138</v>
      </c>
      <c r="O7" s="512">
        <v>144</v>
      </c>
      <c r="P7" s="512">
        <v>140</v>
      </c>
      <c r="Q7" s="512">
        <v>124</v>
      </c>
      <c r="R7" s="512">
        <v>161</v>
      </c>
      <c r="S7" s="513">
        <v>124</v>
      </c>
    </row>
    <row r="8" spans="1:21" ht="15" customHeight="1" x14ac:dyDescent="0.25">
      <c r="A8" s="516"/>
      <c r="B8" s="522" t="s">
        <v>283</v>
      </c>
      <c r="C8" s="902" t="s">
        <v>391</v>
      </c>
      <c r="D8" s="873"/>
      <c r="E8" s="653">
        <v>3905</v>
      </c>
      <c r="F8" s="653">
        <v>5404</v>
      </c>
      <c r="G8" s="510">
        <f t="shared" si="0"/>
        <v>4042</v>
      </c>
      <c r="H8" s="511">
        <v>403</v>
      </c>
      <c r="I8" s="512">
        <v>160</v>
      </c>
      <c r="J8" s="696">
        <v>430</v>
      </c>
      <c r="K8" s="512">
        <v>107</v>
      </c>
      <c r="L8" s="512">
        <v>496</v>
      </c>
      <c r="M8" s="512">
        <v>331</v>
      </c>
      <c r="N8" s="512">
        <v>267</v>
      </c>
      <c r="O8" s="512">
        <v>456</v>
      </c>
      <c r="P8" s="512">
        <v>505</v>
      </c>
      <c r="Q8" s="512">
        <v>422</v>
      </c>
      <c r="R8" s="512"/>
      <c r="S8" s="513">
        <v>465</v>
      </c>
    </row>
    <row r="9" spans="1:21" ht="15" customHeight="1" x14ac:dyDescent="0.25">
      <c r="A9" s="516"/>
      <c r="B9" s="509" t="s">
        <v>284</v>
      </c>
      <c r="C9" s="902" t="s">
        <v>391</v>
      </c>
      <c r="D9" s="871"/>
      <c r="E9" s="653">
        <v>205</v>
      </c>
      <c r="F9" s="653">
        <v>295</v>
      </c>
      <c r="G9" s="510">
        <f t="shared" si="0"/>
        <v>333</v>
      </c>
      <c r="H9" s="511">
        <v>18</v>
      </c>
      <c r="I9" s="512">
        <v>29</v>
      </c>
      <c r="J9" s="696">
        <v>21</v>
      </c>
      <c r="K9" s="512">
        <v>31</v>
      </c>
      <c r="L9" s="512">
        <v>35</v>
      </c>
      <c r="M9" s="512">
        <v>24</v>
      </c>
      <c r="N9" s="512">
        <v>33</v>
      </c>
      <c r="O9" s="512">
        <v>35</v>
      </c>
      <c r="P9" s="512">
        <v>26</v>
      </c>
      <c r="Q9" s="512">
        <v>24</v>
      </c>
      <c r="R9" s="512">
        <v>33</v>
      </c>
      <c r="S9" s="513">
        <v>24</v>
      </c>
    </row>
    <row r="10" spans="1:21" ht="25.5" customHeight="1" x14ac:dyDescent="0.25">
      <c r="A10" s="516"/>
      <c r="B10" s="760" t="s">
        <v>275</v>
      </c>
      <c r="C10" s="902" t="s">
        <v>391</v>
      </c>
      <c r="D10" s="874"/>
      <c r="E10" s="653">
        <v>0</v>
      </c>
      <c r="F10" s="653">
        <v>0</v>
      </c>
      <c r="G10" s="510">
        <f t="shared" si="0"/>
        <v>0</v>
      </c>
      <c r="H10" s="511" t="s">
        <v>397</v>
      </c>
      <c r="I10" s="511" t="s">
        <v>397</v>
      </c>
      <c r="J10" s="511" t="s">
        <v>397</v>
      </c>
      <c r="K10" s="511" t="s">
        <v>397</v>
      </c>
      <c r="L10" s="511" t="s">
        <v>397</v>
      </c>
      <c r="M10" s="511" t="s">
        <v>397</v>
      </c>
      <c r="N10" s="511" t="s">
        <v>397</v>
      </c>
      <c r="O10" s="511" t="s">
        <v>397</v>
      </c>
      <c r="P10" s="511" t="s">
        <v>397</v>
      </c>
      <c r="Q10" s="511" t="s">
        <v>397</v>
      </c>
      <c r="R10" s="511" t="s">
        <v>397</v>
      </c>
      <c r="S10" s="511" t="s">
        <v>397</v>
      </c>
    </row>
    <row r="11" spans="1:21" ht="24.6" customHeight="1" x14ac:dyDescent="0.25">
      <c r="A11" s="516"/>
      <c r="B11" s="522" t="s">
        <v>285</v>
      </c>
      <c r="C11" s="902" t="s">
        <v>391</v>
      </c>
      <c r="D11" s="873"/>
      <c r="E11" s="653">
        <v>1188</v>
      </c>
      <c r="F11" s="653">
        <v>1107</v>
      </c>
      <c r="G11" s="510">
        <f t="shared" si="0"/>
        <v>1180</v>
      </c>
      <c r="H11" s="511">
        <v>78</v>
      </c>
      <c r="I11" s="512">
        <v>90</v>
      </c>
      <c r="J11" s="512">
        <v>91</v>
      </c>
      <c r="K11" s="512">
        <v>102</v>
      </c>
      <c r="L11" s="512">
        <v>88</v>
      </c>
      <c r="M11" s="512">
        <v>82</v>
      </c>
      <c r="N11" s="512">
        <v>106</v>
      </c>
      <c r="O11" s="512">
        <v>109</v>
      </c>
      <c r="P11" s="512">
        <v>114</v>
      </c>
      <c r="Q11" s="512">
        <v>92</v>
      </c>
      <c r="R11" s="512">
        <v>128</v>
      </c>
      <c r="S11" s="513">
        <v>100</v>
      </c>
    </row>
    <row r="12" spans="1:21" ht="11.25" customHeight="1" x14ac:dyDescent="0.25">
      <c r="A12" s="516"/>
      <c r="B12" s="761" t="s">
        <v>276</v>
      </c>
      <c r="C12" s="902" t="s">
        <v>391</v>
      </c>
      <c r="D12" s="872"/>
      <c r="E12" s="653">
        <v>0</v>
      </c>
      <c r="F12" s="653">
        <v>0</v>
      </c>
      <c r="G12" s="510">
        <f t="shared" si="0"/>
        <v>0</v>
      </c>
      <c r="H12" s="511" t="s">
        <v>397</v>
      </c>
      <c r="I12" s="511" t="s">
        <v>397</v>
      </c>
      <c r="J12" s="511" t="s">
        <v>397</v>
      </c>
      <c r="K12" s="511" t="s">
        <v>397</v>
      </c>
      <c r="L12" s="511" t="s">
        <v>397</v>
      </c>
      <c r="M12" s="511" t="s">
        <v>397</v>
      </c>
      <c r="N12" s="511" t="s">
        <v>397</v>
      </c>
      <c r="O12" s="511" t="s">
        <v>397</v>
      </c>
      <c r="P12" s="511" t="s">
        <v>397</v>
      </c>
      <c r="Q12" s="511" t="s">
        <v>397</v>
      </c>
      <c r="R12" s="511" t="s">
        <v>397</v>
      </c>
      <c r="S12" s="511" t="s">
        <v>397</v>
      </c>
      <c r="U12" s="933"/>
    </row>
    <row r="13" spans="1:21" ht="15" hidden="1" customHeight="1" x14ac:dyDescent="0.25">
      <c r="A13" s="516"/>
      <c r="B13" s="1079" t="s">
        <v>19</v>
      </c>
      <c r="C13" s="1080"/>
      <c r="D13" s="1080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2"/>
      <c r="U13" s="933"/>
    </row>
    <row r="14" spans="1:21" ht="12.75" hidden="1" customHeight="1" x14ac:dyDescent="0.25">
      <c r="A14" s="516"/>
      <c r="B14" s="777" t="s">
        <v>375</v>
      </c>
      <c r="C14" s="750"/>
      <c r="E14" s="778"/>
      <c r="F14" s="779"/>
      <c r="G14" s="785"/>
      <c r="H14" s="780"/>
      <c r="I14" s="512"/>
      <c r="J14" s="512"/>
      <c r="K14" s="512"/>
      <c r="L14" s="512"/>
      <c r="M14" s="850"/>
      <c r="N14" s="512"/>
      <c r="O14" s="512"/>
      <c r="P14" s="512"/>
      <c r="Q14" s="512"/>
      <c r="R14" s="512"/>
      <c r="S14" s="513"/>
      <c r="U14" s="933"/>
    </row>
    <row r="15" spans="1:21" ht="12.75" hidden="1" customHeight="1" x14ac:dyDescent="0.25">
      <c r="A15" s="516"/>
      <c r="B15" s="784" t="s">
        <v>22</v>
      </c>
      <c r="C15" s="907"/>
      <c r="E15" s="778"/>
      <c r="F15" s="779"/>
      <c r="G15" s="786"/>
      <c r="H15" s="511"/>
      <c r="I15" s="512">
        <v>117</v>
      </c>
      <c r="J15" s="512"/>
      <c r="K15" s="512"/>
      <c r="L15" s="512"/>
      <c r="M15" s="850"/>
      <c r="N15" s="512"/>
      <c r="O15" s="512"/>
      <c r="P15" s="512"/>
      <c r="Q15" s="512"/>
      <c r="R15" s="512"/>
      <c r="S15" s="513"/>
      <c r="U15" s="933"/>
    </row>
    <row r="16" spans="1:21" hidden="1" x14ac:dyDescent="0.25">
      <c r="A16" s="516"/>
      <c r="B16" s="784" t="s">
        <v>23</v>
      </c>
      <c r="C16" s="907"/>
      <c r="E16" s="778"/>
      <c r="F16" s="779"/>
      <c r="G16" s="781"/>
      <c r="H16" s="511"/>
      <c r="I16" s="512">
        <v>93</v>
      </c>
      <c r="J16" s="512"/>
      <c r="K16" s="512"/>
      <c r="L16" s="512"/>
      <c r="M16" s="850"/>
      <c r="N16" s="512"/>
      <c r="O16" s="512"/>
      <c r="P16" s="512"/>
      <c r="Q16" s="512"/>
      <c r="R16" s="512"/>
      <c r="S16" s="513"/>
    </row>
    <row r="17" spans="1:19" hidden="1" x14ac:dyDescent="0.25">
      <c r="A17" s="516"/>
      <c r="B17" s="784" t="s">
        <v>199</v>
      </c>
      <c r="C17" s="907"/>
      <c r="E17" s="778"/>
      <c r="F17" s="779"/>
      <c r="G17" s="787"/>
      <c r="H17" s="511"/>
      <c r="I17" s="512"/>
      <c r="J17" s="512"/>
      <c r="K17" s="512"/>
      <c r="L17" s="512"/>
      <c r="M17" s="850"/>
      <c r="N17" s="512"/>
      <c r="O17" s="512"/>
      <c r="P17" s="512"/>
      <c r="Q17" s="512"/>
      <c r="R17" s="512"/>
      <c r="S17" s="513"/>
    </row>
    <row r="18" spans="1:19" hidden="1" x14ac:dyDescent="0.25">
      <c r="A18" s="516"/>
      <c r="B18" s="782" t="s">
        <v>376</v>
      </c>
      <c r="C18" s="750"/>
      <c r="E18" s="778"/>
      <c r="F18" s="779"/>
      <c r="G18" s="510"/>
      <c r="H18" s="519"/>
      <c r="I18" s="520"/>
      <c r="J18" s="520"/>
      <c r="K18" s="520"/>
      <c r="L18" s="520"/>
      <c r="M18" s="975"/>
      <c r="N18" s="520"/>
      <c r="O18" s="520"/>
      <c r="P18" s="520"/>
      <c r="Q18" s="520"/>
      <c r="R18" s="520"/>
      <c r="S18" s="521"/>
    </row>
    <row r="19" spans="1:19" hidden="1" x14ac:dyDescent="0.25">
      <c r="A19" s="516"/>
      <c r="B19" s="782" t="s">
        <v>377</v>
      </c>
      <c r="C19" s="750"/>
      <c r="E19" s="778"/>
      <c r="F19" s="779"/>
      <c r="G19" s="523"/>
      <c r="H19" s="519"/>
      <c r="I19" s="520"/>
      <c r="J19" s="520"/>
      <c r="K19" s="520"/>
      <c r="L19" s="520"/>
      <c r="M19" s="975"/>
      <c r="N19" s="520"/>
      <c r="O19" s="520"/>
      <c r="P19" s="520"/>
      <c r="Q19" s="520"/>
      <c r="R19" s="520"/>
      <c r="S19" s="521"/>
    </row>
    <row r="20" spans="1:19" hidden="1" x14ac:dyDescent="0.25">
      <c r="A20" s="516"/>
      <c r="B20" s="782" t="s">
        <v>378</v>
      </c>
      <c r="C20" s="750"/>
      <c r="E20" s="778"/>
      <c r="F20" s="779"/>
      <c r="G20" s="523"/>
      <c r="H20" s="519"/>
      <c r="I20" s="520"/>
      <c r="J20" s="520"/>
      <c r="K20" s="520"/>
      <c r="L20" s="520"/>
      <c r="M20" s="975"/>
      <c r="N20" s="520"/>
      <c r="O20" s="520"/>
      <c r="P20" s="520"/>
      <c r="Q20" s="520"/>
      <c r="R20" s="520"/>
      <c r="S20" s="521"/>
    </row>
    <row r="21" spans="1:19" ht="37.5" hidden="1" customHeight="1" x14ac:dyDescent="0.25">
      <c r="A21" s="516"/>
      <c r="B21" s="782" t="s">
        <v>379</v>
      </c>
      <c r="C21" s="750"/>
      <c r="E21" s="778"/>
      <c r="F21" s="779"/>
      <c r="G21" s="523"/>
      <c r="H21" s="519"/>
      <c r="I21" s="520"/>
      <c r="J21" s="520"/>
      <c r="K21" s="520"/>
      <c r="L21" s="520"/>
      <c r="M21" s="975"/>
      <c r="N21" s="520"/>
      <c r="O21" s="520"/>
      <c r="P21" s="520"/>
      <c r="Q21" s="520"/>
      <c r="R21" s="520"/>
      <c r="S21" s="521"/>
    </row>
    <row r="22" spans="1:19" ht="40.5" hidden="1" customHeight="1" x14ac:dyDescent="0.25">
      <c r="A22" s="516"/>
      <c r="B22" s="782" t="s">
        <v>380</v>
      </c>
      <c r="C22" s="750"/>
      <c r="E22" s="778"/>
      <c r="F22" s="779"/>
      <c r="G22" s="523"/>
      <c r="H22" s="519"/>
      <c r="I22" s="520"/>
      <c r="J22" s="520"/>
      <c r="K22" s="520"/>
      <c r="L22" s="520"/>
      <c r="M22" s="975"/>
      <c r="N22" s="520"/>
      <c r="O22" s="520"/>
      <c r="P22" s="520"/>
      <c r="Q22" s="520"/>
      <c r="R22" s="520"/>
      <c r="S22" s="521"/>
    </row>
    <row r="23" spans="1:19" ht="36.75" hidden="1" customHeight="1" x14ac:dyDescent="0.25">
      <c r="A23" s="516"/>
      <c r="B23" s="783" t="s">
        <v>381</v>
      </c>
      <c r="C23" s="908"/>
      <c r="D23" s="876"/>
      <c r="E23" s="778"/>
      <c r="F23" s="779"/>
      <c r="G23" s="515"/>
      <c r="H23" s="524"/>
      <c r="I23" s="525"/>
      <c r="J23" s="525"/>
      <c r="K23" s="525"/>
      <c r="L23" s="525"/>
      <c r="M23" s="551"/>
      <c r="N23" s="525"/>
      <c r="O23" s="525"/>
      <c r="P23" s="525"/>
      <c r="Q23" s="525"/>
      <c r="R23" s="525"/>
      <c r="S23" s="526"/>
    </row>
    <row r="24" spans="1:19" s="655" customFormat="1" ht="15.95" customHeight="1" x14ac:dyDescent="0.25">
      <c r="A24" s="654"/>
      <c r="B24" s="1079" t="s">
        <v>293</v>
      </c>
      <c r="C24" s="1080"/>
      <c r="D24" s="1080"/>
      <c r="E24" s="1080"/>
      <c r="F24" s="1080"/>
      <c r="G24" s="1080"/>
      <c r="H24" s="1080"/>
      <c r="I24" s="1080"/>
      <c r="J24" s="1080"/>
      <c r="K24" s="1080"/>
      <c r="L24" s="1080"/>
      <c r="M24" s="1080"/>
      <c r="N24" s="1080"/>
      <c r="O24" s="1080"/>
      <c r="P24" s="1080"/>
      <c r="Q24" s="1080"/>
      <c r="R24" s="1080"/>
      <c r="S24" s="1081"/>
    </row>
    <row r="25" spans="1:19" ht="15" customHeight="1" x14ac:dyDescent="0.25">
      <c r="A25" s="516"/>
      <c r="B25" s="509" t="s">
        <v>277</v>
      </c>
      <c r="C25" s="750" t="s">
        <v>392</v>
      </c>
      <c r="E25" s="717">
        <v>0</v>
      </c>
      <c r="F25" s="718">
        <v>3435</v>
      </c>
      <c r="G25" s="722">
        <f>SUM(H25:S25)</f>
        <v>3343</v>
      </c>
      <c r="H25" s="512">
        <v>292</v>
      </c>
      <c r="I25" s="512">
        <v>292</v>
      </c>
      <c r="J25" s="512">
        <v>292</v>
      </c>
      <c r="K25" s="696">
        <v>288</v>
      </c>
      <c r="L25" s="512">
        <v>278</v>
      </c>
      <c r="M25" s="512">
        <v>280</v>
      </c>
      <c r="N25" s="512">
        <v>279</v>
      </c>
      <c r="O25" s="512">
        <v>277</v>
      </c>
      <c r="P25" s="512">
        <v>270</v>
      </c>
      <c r="Q25" s="512">
        <v>270</v>
      </c>
      <c r="R25" s="512">
        <v>264</v>
      </c>
      <c r="S25" s="527">
        <v>261</v>
      </c>
    </row>
    <row r="26" spans="1:19" ht="15" customHeight="1" x14ac:dyDescent="0.25">
      <c r="A26" s="516"/>
      <c r="B26" s="762" t="s">
        <v>22</v>
      </c>
      <c r="C26" s="750" t="s">
        <v>392</v>
      </c>
      <c r="E26" s="719">
        <v>0</v>
      </c>
      <c r="F26" s="720">
        <v>1807</v>
      </c>
      <c r="G26" s="723">
        <f>SUM(H26:S26)</f>
        <v>1796</v>
      </c>
      <c r="H26" s="512">
        <v>160</v>
      </c>
      <c r="I26" s="512">
        <v>158</v>
      </c>
      <c r="J26" s="512">
        <v>156</v>
      </c>
      <c r="K26" s="696">
        <v>156</v>
      </c>
      <c r="L26" s="512">
        <v>150</v>
      </c>
      <c r="M26" s="512">
        <v>148</v>
      </c>
      <c r="N26" s="512">
        <v>149</v>
      </c>
      <c r="O26" s="512">
        <v>148</v>
      </c>
      <c r="P26" s="512">
        <v>145</v>
      </c>
      <c r="Q26" s="512">
        <v>146</v>
      </c>
      <c r="R26" s="512">
        <v>142</v>
      </c>
      <c r="S26" s="527">
        <v>138</v>
      </c>
    </row>
    <row r="27" spans="1:19" ht="15" customHeight="1" x14ac:dyDescent="0.25">
      <c r="A27" s="516"/>
      <c r="B27" s="762" t="s">
        <v>23</v>
      </c>
      <c r="C27" s="750" t="s">
        <v>392</v>
      </c>
      <c r="E27" s="719">
        <v>0</v>
      </c>
      <c r="F27" s="720">
        <v>1664</v>
      </c>
      <c r="G27" s="723">
        <f>SUM(H27:S27)</f>
        <v>1547</v>
      </c>
      <c r="H27" s="512">
        <v>132</v>
      </c>
      <c r="I27" s="512">
        <v>134</v>
      </c>
      <c r="J27" s="512">
        <v>136</v>
      </c>
      <c r="K27" s="696">
        <v>132</v>
      </c>
      <c r="L27" s="512">
        <v>128</v>
      </c>
      <c r="M27" s="512">
        <v>132</v>
      </c>
      <c r="N27" s="512">
        <v>130</v>
      </c>
      <c r="O27" s="512">
        <v>129</v>
      </c>
      <c r="P27" s="512">
        <v>125</v>
      </c>
      <c r="Q27" s="512">
        <v>124</v>
      </c>
      <c r="R27" s="512">
        <v>122</v>
      </c>
      <c r="S27" s="527">
        <v>123</v>
      </c>
    </row>
    <row r="28" spans="1:19" ht="15" customHeight="1" x14ac:dyDescent="0.25">
      <c r="A28" s="516"/>
      <c r="B28" s="762" t="s">
        <v>398</v>
      </c>
      <c r="C28" s="750"/>
      <c r="E28" s="719"/>
      <c r="F28" s="720"/>
      <c r="G28" s="723"/>
      <c r="H28" s="512">
        <v>230</v>
      </c>
      <c r="I28" s="512">
        <v>227</v>
      </c>
      <c r="J28" s="512">
        <v>229</v>
      </c>
      <c r="K28" s="696">
        <v>226</v>
      </c>
      <c r="L28" s="512">
        <v>219</v>
      </c>
      <c r="M28" s="512">
        <v>216</v>
      </c>
      <c r="N28" s="512">
        <v>215</v>
      </c>
      <c r="O28" s="512">
        <v>214</v>
      </c>
      <c r="P28" s="512">
        <v>207</v>
      </c>
      <c r="Q28" s="512">
        <v>206</v>
      </c>
      <c r="R28" s="512">
        <v>200</v>
      </c>
      <c r="S28" s="527">
        <v>195</v>
      </c>
    </row>
    <row r="29" spans="1:19" ht="15" customHeight="1" x14ac:dyDescent="0.25">
      <c r="A29" s="516"/>
      <c r="B29" s="762" t="s">
        <v>399</v>
      </c>
      <c r="C29" s="750"/>
      <c r="E29" s="719"/>
      <c r="F29" s="720"/>
      <c r="G29" s="723"/>
      <c r="H29" s="512">
        <v>34</v>
      </c>
      <c r="I29" s="512">
        <v>35</v>
      </c>
      <c r="J29" s="512">
        <v>35</v>
      </c>
      <c r="K29" s="696">
        <v>34</v>
      </c>
      <c r="L29" s="512">
        <v>32</v>
      </c>
      <c r="M29" s="512">
        <v>35</v>
      </c>
      <c r="N29" s="696">
        <v>34</v>
      </c>
      <c r="O29" s="512">
        <v>34</v>
      </c>
      <c r="P29" s="512">
        <v>34</v>
      </c>
      <c r="Q29" s="512">
        <v>36</v>
      </c>
      <c r="R29" s="696">
        <v>37</v>
      </c>
      <c r="S29" s="527">
        <v>39</v>
      </c>
    </row>
    <row r="30" spans="1:19" ht="15" customHeight="1" x14ac:dyDescent="0.25">
      <c r="A30" s="516"/>
      <c r="B30" s="762" t="s">
        <v>401</v>
      </c>
      <c r="C30" s="750"/>
      <c r="E30" s="719"/>
      <c r="F30" s="720"/>
      <c r="G30" s="723"/>
      <c r="H30" s="512">
        <v>20</v>
      </c>
      <c r="I30" s="512">
        <v>22</v>
      </c>
      <c r="J30" s="512">
        <v>20</v>
      </c>
      <c r="K30" s="696">
        <v>20</v>
      </c>
      <c r="L30" s="512">
        <v>20</v>
      </c>
      <c r="M30" s="512">
        <v>22</v>
      </c>
      <c r="N30" s="512">
        <v>23</v>
      </c>
      <c r="O30" s="512">
        <v>22</v>
      </c>
      <c r="P30" s="512">
        <v>22</v>
      </c>
      <c r="Q30" s="512">
        <v>22</v>
      </c>
      <c r="R30" s="512">
        <v>22</v>
      </c>
      <c r="S30" s="527">
        <v>22</v>
      </c>
    </row>
    <row r="31" spans="1:19" ht="15" customHeight="1" x14ac:dyDescent="0.25">
      <c r="A31" s="516"/>
      <c r="B31" s="762" t="s">
        <v>400</v>
      </c>
      <c r="C31" s="750"/>
      <c r="E31" s="719"/>
      <c r="F31" s="720"/>
      <c r="G31" s="723"/>
      <c r="H31" s="512">
        <v>8</v>
      </c>
      <c r="I31" s="512">
        <v>8</v>
      </c>
      <c r="J31" s="512">
        <v>8</v>
      </c>
      <c r="K31" s="696">
        <v>8</v>
      </c>
      <c r="L31" s="512">
        <v>7</v>
      </c>
      <c r="M31" s="512">
        <v>7</v>
      </c>
      <c r="N31" s="512">
        <v>7</v>
      </c>
      <c r="O31" s="512">
        <v>7</v>
      </c>
      <c r="P31" s="512">
        <v>7</v>
      </c>
      <c r="Q31" s="512">
        <v>6</v>
      </c>
      <c r="R31" s="512">
        <v>5</v>
      </c>
      <c r="S31" s="527">
        <v>5</v>
      </c>
    </row>
    <row r="32" spans="1:19" ht="15" customHeight="1" x14ac:dyDescent="0.25">
      <c r="A32" s="516"/>
      <c r="B32" s="762" t="s">
        <v>278</v>
      </c>
      <c r="C32" s="750" t="s">
        <v>392</v>
      </c>
      <c r="E32" s="719">
        <v>0</v>
      </c>
      <c r="F32" s="720">
        <v>1429</v>
      </c>
      <c r="G32" s="723">
        <f t="shared" ref="G32:G43" si="1">SUM(H32:S32)</f>
        <v>645</v>
      </c>
      <c r="H32" s="512">
        <v>56</v>
      </c>
      <c r="I32" s="512">
        <v>58</v>
      </c>
      <c r="J32" s="512">
        <v>61</v>
      </c>
      <c r="K32" s="696">
        <v>55</v>
      </c>
      <c r="L32" s="512">
        <v>54</v>
      </c>
      <c r="M32" s="512">
        <v>52</v>
      </c>
      <c r="N32" s="512">
        <v>55</v>
      </c>
      <c r="O32" s="512">
        <v>53</v>
      </c>
      <c r="P32" s="512">
        <v>58</v>
      </c>
      <c r="Q32" s="512">
        <v>51</v>
      </c>
      <c r="R32" s="512">
        <v>45</v>
      </c>
      <c r="S32" s="527">
        <v>47</v>
      </c>
    </row>
    <row r="33" spans="1:19" ht="15" customHeight="1" x14ac:dyDescent="0.25">
      <c r="A33" s="516"/>
      <c r="B33" s="762" t="s">
        <v>279</v>
      </c>
      <c r="C33" s="750" t="s">
        <v>392</v>
      </c>
      <c r="E33" s="719">
        <v>0</v>
      </c>
      <c r="F33" s="720">
        <v>949</v>
      </c>
      <c r="G33" s="723">
        <f t="shared" si="1"/>
        <v>835</v>
      </c>
      <c r="H33" s="512">
        <v>85</v>
      </c>
      <c r="I33" s="512">
        <v>90</v>
      </c>
      <c r="J33" s="512">
        <v>85</v>
      </c>
      <c r="K33" s="696">
        <v>83</v>
      </c>
      <c r="L33" s="512">
        <v>76</v>
      </c>
      <c r="M33" s="512">
        <v>72</v>
      </c>
      <c r="N33" s="512">
        <v>64</v>
      </c>
      <c r="O33" s="512">
        <v>63</v>
      </c>
      <c r="P33" s="512">
        <v>54</v>
      </c>
      <c r="Q33" s="512">
        <v>57</v>
      </c>
      <c r="R33" s="512">
        <v>57</v>
      </c>
      <c r="S33" s="527">
        <v>49</v>
      </c>
    </row>
    <row r="34" spans="1:19" ht="15" customHeight="1" x14ac:dyDescent="0.25">
      <c r="A34" s="516"/>
      <c r="B34" s="762" t="s">
        <v>280</v>
      </c>
      <c r="C34" s="750" t="s">
        <v>392</v>
      </c>
      <c r="E34" s="719">
        <v>0</v>
      </c>
      <c r="F34" s="720">
        <v>1093</v>
      </c>
      <c r="G34" s="723">
        <f t="shared" si="1"/>
        <v>1864</v>
      </c>
      <c r="H34" s="512">
        <v>151</v>
      </c>
      <c r="I34" s="512">
        <v>144</v>
      </c>
      <c r="J34" s="512">
        <v>146</v>
      </c>
      <c r="K34" s="696">
        <v>150</v>
      </c>
      <c r="L34" s="512">
        <v>148</v>
      </c>
      <c r="M34" s="512">
        <v>156</v>
      </c>
      <c r="N34" s="512">
        <v>161</v>
      </c>
      <c r="O34" s="512">
        <v>161</v>
      </c>
      <c r="P34" s="512">
        <v>158</v>
      </c>
      <c r="Q34" s="512">
        <v>162</v>
      </c>
      <c r="R34" s="512">
        <v>162</v>
      </c>
      <c r="S34" s="527">
        <v>165</v>
      </c>
    </row>
    <row r="35" spans="1:19" ht="27" customHeight="1" x14ac:dyDescent="0.25">
      <c r="A35" s="516"/>
      <c r="B35" s="528" t="s">
        <v>287</v>
      </c>
      <c r="C35" s="750" t="s">
        <v>392</v>
      </c>
      <c r="D35" s="876"/>
      <c r="E35" s="719">
        <v>0</v>
      </c>
      <c r="F35" s="720">
        <v>211</v>
      </c>
      <c r="G35" s="723">
        <f t="shared" si="1"/>
        <v>348</v>
      </c>
      <c r="H35" s="512">
        <v>32</v>
      </c>
      <c r="I35" s="512">
        <v>31</v>
      </c>
      <c r="J35" s="512">
        <v>29</v>
      </c>
      <c r="K35" s="696">
        <v>30</v>
      </c>
      <c r="L35" s="512">
        <v>30</v>
      </c>
      <c r="M35" s="512">
        <v>30</v>
      </c>
      <c r="N35" s="512">
        <v>28</v>
      </c>
      <c r="O35" s="512">
        <v>28</v>
      </c>
      <c r="P35" s="512">
        <v>29</v>
      </c>
      <c r="Q35" s="512">
        <v>27</v>
      </c>
      <c r="R35" s="512">
        <v>28</v>
      </c>
      <c r="S35" s="527">
        <v>26</v>
      </c>
    </row>
    <row r="36" spans="1:19" ht="15" customHeight="1" x14ac:dyDescent="0.25">
      <c r="A36" s="516"/>
      <c r="B36" s="522" t="s">
        <v>288</v>
      </c>
      <c r="C36" s="750" t="s">
        <v>392</v>
      </c>
      <c r="E36" s="719">
        <v>0</v>
      </c>
      <c r="F36" s="720">
        <v>212</v>
      </c>
      <c r="G36" s="723">
        <f t="shared" si="1"/>
        <v>47</v>
      </c>
      <c r="H36" s="561">
        <v>5</v>
      </c>
      <c r="I36" s="512">
        <v>8</v>
      </c>
      <c r="J36" s="512">
        <v>8</v>
      </c>
      <c r="K36" s="696">
        <v>0</v>
      </c>
      <c r="L36" s="512">
        <v>1</v>
      </c>
      <c r="M36" s="512">
        <v>6</v>
      </c>
      <c r="N36" s="512">
        <v>6</v>
      </c>
      <c r="O36" s="512">
        <v>0</v>
      </c>
      <c r="P36" s="512">
        <v>6</v>
      </c>
      <c r="Q36" s="512">
        <v>0</v>
      </c>
      <c r="R36" s="512">
        <v>1</v>
      </c>
      <c r="S36" s="527">
        <v>6</v>
      </c>
    </row>
    <row r="37" spans="1:19" ht="15" customHeight="1" x14ac:dyDescent="0.25">
      <c r="A37" s="516"/>
      <c r="B37" s="522" t="s">
        <v>289</v>
      </c>
      <c r="C37" s="750" t="s">
        <v>392</v>
      </c>
      <c r="E37" s="719">
        <v>0</v>
      </c>
      <c r="F37" s="720">
        <v>213</v>
      </c>
      <c r="G37" s="723">
        <f t="shared" si="1"/>
        <v>85</v>
      </c>
      <c r="H37" s="561">
        <v>11</v>
      </c>
      <c r="I37" s="512">
        <v>8</v>
      </c>
      <c r="J37" s="512">
        <v>8</v>
      </c>
      <c r="K37" s="696">
        <v>4</v>
      </c>
      <c r="L37" s="512">
        <v>11</v>
      </c>
      <c r="M37" s="512">
        <v>4</v>
      </c>
      <c r="N37" s="512">
        <v>7</v>
      </c>
      <c r="O37" s="512">
        <v>2</v>
      </c>
      <c r="P37" s="512">
        <v>13</v>
      </c>
      <c r="Q37" s="512">
        <v>0</v>
      </c>
      <c r="R37" s="512">
        <v>8</v>
      </c>
      <c r="S37" s="527">
        <v>9</v>
      </c>
    </row>
    <row r="38" spans="1:19" ht="15" customHeight="1" x14ac:dyDescent="0.25">
      <c r="A38" s="516"/>
      <c r="B38" s="762" t="s">
        <v>113</v>
      </c>
      <c r="C38" s="750" t="s">
        <v>392</v>
      </c>
      <c r="E38" s="719">
        <v>0</v>
      </c>
      <c r="F38" s="720">
        <v>214</v>
      </c>
      <c r="G38" s="723">
        <f t="shared" si="1"/>
        <v>21</v>
      </c>
      <c r="H38" s="859">
        <v>4</v>
      </c>
      <c r="I38" s="531">
        <v>0</v>
      </c>
      <c r="J38" s="531">
        <v>3</v>
      </c>
      <c r="K38" s="696">
        <v>0</v>
      </c>
      <c r="L38" s="531">
        <v>4</v>
      </c>
      <c r="M38" s="531">
        <v>2</v>
      </c>
      <c r="N38" s="531">
        <v>1</v>
      </c>
      <c r="O38" s="531">
        <v>1</v>
      </c>
      <c r="P38" s="531">
        <v>3</v>
      </c>
      <c r="Q38" s="531">
        <v>0</v>
      </c>
      <c r="R38" s="512">
        <v>1</v>
      </c>
      <c r="S38" s="532">
        <v>2</v>
      </c>
    </row>
    <row r="39" spans="1:19" ht="15" customHeight="1" x14ac:dyDescent="0.25">
      <c r="A39" s="516"/>
      <c r="B39" s="762" t="s">
        <v>139</v>
      </c>
      <c r="C39" s="750" t="s">
        <v>392</v>
      </c>
      <c r="E39" s="719">
        <v>0</v>
      </c>
      <c r="F39" s="720">
        <v>215</v>
      </c>
      <c r="G39" s="723">
        <f t="shared" si="1"/>
        <v>4</v>
      </c>
      <c r="H39" s="859">
        <v>0</v>
      </c>
      <c r="I39" s="531">
        <v>0</v>
      </c>
      <c r="J39" s="531">
        <v>0</v>
      </c>
      <c r="K39" s="696">
        <v>0</v>
      </c>
      <c r="L39" s="531">
        <v>1</v>
      </c>
      <c r="M39" s="531">
        <v>0</v>
      </c>
      <c r="N39" s="531">
        <v>2</v>
      </c>
      <c r="O39" s="531">
        <v>0</v>
      </c>
      <c r="P39" s="531">
        <v>0</v>
      </c>
      <c r="Q39" s="531">
        <v>0</v>
      </c>
      <c r="R39" s="512">
        <v>0</v>
      </c>
      <c r="S39" s="532">
        <v>1</v>
      </c>
    </row>
    <row r="40" spans="1:19" ht="15" customHeight="1" x14ac:dyDescent="0.25">
      <c r="A40" s="516"/>
      <c r="B40" s="762" t="s">
        <v>114</v>
      </c>
      <c r="C40" s="750" t="s">
        <v>392</v>
      </c>
      <c r="E40" s="719">
        <v>0</v>
      </c>
      <c r="F40" s="720">
        <v>216</v>
      </c>
      <c r="G40" s="723">
        <f t="shared" si="1"/>
        <v>8</v>
      </c>
      <c r="H40" s="859">
        <v>0</v>
      </c>
      <c r="I40" s="531">
        <v>3</v>
      </c>
      <c r="J40" s="531">
        <v>1</v>
      </c>
      <c r="K40" s="696">
        <v>0</v>
      </c>
      <c r="L40" s="531">
        <v>2</v>
      </c>
      <c r="M40" s="531">
        <v>0</v>
      </c>
      <c r="N40" s="531">
        <v>0</v>
      </c>
      <c r="O40" s="531">
        <v>0</v>
      </c>
      <c r="P40" s="531">
        <v>2</v>
      </c>
      <c r="Q40" s="531">
        <v>0</v>
      </c>
      <c r="R40" s="512">
        <v>0</v>
      </c>
      <c r="S40" s="532">
        <v>0</v>
      </c>
    </row>
    <row r="41" spans="1:19" ht="15" customHeight="1" x14ac:dyDescent="0.25">
      <c r="A41" s="516"/>
      <c r="B41" s="762" t="s">
        <v>115</v>
      </c>
      <c r="C41" s="750" t="s">
        <v>392</v>
      </c>
      <c r="E41" s="719">
        <v>0</v>
      </c>
      <c r="F41" s="720">
        <v>217</v>
      </c>
      <c r="G41" s="723">
        <f t="shared" si="1"/>
        <v>34</v>
      </c>
      <c r="H41" s="859">
        <v>7</v>
      </c>
      <c r="I41" s="531">
        <v>2</v>
      </c>
      <c r="J41" s="531">
        <v>2</v>
      </c>
      <c r="K41" s="696">
        <v>2</v>
      </c>
      <c r="L41" s="531">
        <v>1</v>
      </c>
      <c r="M41" s="531">
        <v>0</v>
      </c>
      <c r="N41" s="531">
        <v>1</v>
      </c>
      <c r="O41" s="531">
        <v>0</v>
      </c>
      <c r="P41" s="531">
        <v>7</v>
      </c>
      <c r="Q41" s="531">
        <v>0</v>
      </c>
      <c r="R41" s="512">
        <v>6</v>
      </c>
      <c r="S41" s="532">
        <v>6</v>
      </c>
    </row>
    <row r="42" spans="1:19" ht="15" customHeight="1" x14ac:dyDescent="0.25">
      <c r="A42" s="516"/>
      <c r="B42" s="762" t="s">
        <v>290</v>
      </c>
      <c r="C42" s="750" t="s">
        <v>392</v>
      </c>
      <c r="E42" s="719">
        <v>0</v>
      </c>
      <c r="F42" s="720">
        <v>218</v>
      </c>
      <c r="G42" s="723">
        <f t="shared" si="1"/>
        <v>16</v>
      </c>
      <c r="H42" s="859">
        <v>0</v>
      </c>
      <c r="I42" s="531">
        <v>3</v>
      </c>
      <c r="J42" s="531">
        <v>2</v>
      </c>
      <c r="K42" s="696">
        <v>2</v>
      </c>
      <c r="L42" s="531">
        <v>3</v>
      </c>
      <c r="M42" s="531">
        <v>1</v>
      </c>
      <c r="N42" s="531">
        <v>3</v>
      </c>
      <c r="O42" s="531">
        <v>0</v>
      </c>
      <c r="P42" s="531">
        <v>1</v>
      </c>
      <c r="Q42" s="531">
        <v>0</v>
      </c>
      <c r="R42" s="512">
        <v>1</v>
      </c>
      <c r="S42" s="532">
        <v>0</v>
      </c>
    </row>
    <row r="43" spans="1:19" ht="15" customHeight="1" x14ac:dyDescent="0.25">
      <c r="A43" s="516"/>
      <c r="B43" s="761" t="s">
        <v>281</v>
      </c>
      <c r="C43" s="750" t="s">
        <v>392</v>
      </c>
      <c r="D43" s="877"/>
      <c r="E43" s="721">
        <v>0</v>
      </c>
      <c r="F43" s="720">
        <v>219</v>
      </c>
      <c r="G43" s="723">
        <f t="shared" si="1"/>
        <v>2</v>
      </c>
      <c r="H43" s="860">
        <v>0</v>
      </c>
      <c r="I43" s="669">
        <v>0</v>
      </c>
      <c r="J43" s="669">
        <v>0</v>
      </c>
      <c r="K43" s="696">
        <v>0</v>
      </c>
      <c r="L43" s="669">
        <v>0</v>
      </c>
      <c r="M43" s="669">
        <v>1</v>
      </c>
      <c r="N43" s="669">
        <v>0</v>
      </c>
      <c r="O43" s="669">
        <v>1</v>
      </c>
      <c r="P43" s="669">
        <v>0</v>
      </c>
      <c r="Q43" s="669">
        <v>0</v>
      </c>
      <c r="R43" s="512">
        <v>0</v>
      </c>
      <c r="S43" s="560">
        <v>0</v>
      </c>
    </row>
    <row r="44" spans="1:19" s="655" customFormat="1" ht="15.95" customHeight="1" x14ac:dyDescent="0.25">
      <c r="A44" s="654"/>
      <c r="B44" s="1051" t="s">
        <v>292</v>
      </c>
      <c r="C44" s="1052"/>
      <c r="D44" s="1052"/>
      <c r="E44" s="1052"/>
      <c r="F44" s="1052"/>
      <c r="G44" s="1052"/>
      <c r="H44" s="1052"/>
      <c r="I44" s="1052"/>
      <c r="J44" s="1052"/>
      <c r="K44" s="1052"/>
      <c r="L44" s="1052"/>
      <c r="M44" s="1052"/>
      <c r="N44" s="1052"/>
      <c r="O44" s="1052"/>
      <c r="P44" s="1052"/>
      <c r="Q44" s="1052"/>
      <c r="R44" s="1052"/>
      <c r="S44" s="1053"/>
    </row>
    <row r="45" spans="1:19" ht="15" customHeight="1" x14ac:dyDescent="0.25">
      <c r="A45" s="516"/>
      <c r="B45" s="509" t="s">
        <v>291</v>
      </c>
      <c r="C45" s="902"/>
      <c r="D45" s="871"/>
      <c r="E45" s="529">
        <v>5</v>
      </c>
      <c r="F45" s="529">
        <v>5</v>
      </c>
      <c r="G45" s="653">
        <f>SUM(H45:S45)</f>
        <v>6</v>
      </c>
      <c r="H45" s="859">
        <v>1</v>
      </c>
      <c r="I45" s="531">
        <v>0</v>
      </c>
      <c r="J45" s="531">
        <v>2</v>
      </c>
      <c r="K45" s="696">
        <v>0</v>
      </c>
      <c r="L45" s="531">
        <v>1</v>
      </c>
      <c r="M45" s="531">
        <v>0</v>
      </c>
      <c r="N45" s="531">
        <v>0</v>
      </c>
      <c r="O45" s="531">
        <v>0</v>
      </c>
      <c r="P45" s="531">
        <v>0</v>
      </c>
      <c r="Q45" s="531">
        <v>0</v>
      </c>
      <c r="R45" s="531">
        <v>1</v>
      </c>
      <c r="S45" s="532">
        <v>1</v>
      </c>
    </row>
    <row r="46" spans="1:19" ht="15" customHeight="1" x14ac:dyDescent="0.25">
      <c r="A46" s="516"/>
      <c r="B46" s="522" t="s">
        <v>294</v>
      </c>
      <c r="C46" s="904"/>
      <c r="D46" s="873"/>
      <c r="E46" s="517">
        <v>19</v>
      </c>
      <c r="F46" s="517">
        <v>13</v>
      </c>
      <c r="G46" s="653">
        <f>SUM(H46:S46)</f>
        <v>28</v>
      </c>
      <c r="H46" s="859">
        <v>6</v>
      </c>
      <c r="I46" s="531">
        <v>2</v>
      </c>
      <c r="J46" s="531">
        <v>0</v>
      </c>
      <c r="K46" s="696">
        <v>2</v>
      </c>
      <c r="L46" s="531">
        <v>0</v>
      </c>
      <c r="M46" s="531">
        <v>0</v>
      </c>
      <c r="N46" s="531">
        <v>1</v>
      </c>
      <c r="O46" s="531">
        <v>0</v>
      </c>
      <c r="P46" s="531">
        <v>7</v>
      </c>
      <c r="Q46" s="531">
        <v>0</v>
      </c>
      <c r="R46" s="531">
        <v>5</v>
      </c>
      <c r="S46" s="532">
        <v>5</v>
      </c>
    </row>
    <row r="47" spans="1:19" ht="15" customHeight="1" x14ac:dyDescent="0.25">
      <c r="A47" s="516"/>
      <c r="B47" s="522" t="s">
        <v>419</v>
      </c>
      <c r="C47" s="903"/>
      <c r="D47" s="872"/>
      <c r="E47" s="530">
        <v>14</v>
      </c>
      <c r="F47" s="530">
        <v>25</v>
      </c>
      <c r="G47" s="653">
        <f>SUM(H47:S47)</f>
        <v>23</v>
      </c>
      <c r="H47" s="859">
        <v>0</v>
      </c>
      <c r="I47" s="531">
        <v>2</v>
      </c>
      <c r="J47" s="531">
        <v>2</v>
      </c>
      <c r="K47" s="696">
        <v>3</v>
      </c>
      <c r="L47" s="531">
        <v>3</v>
      </c>
      <c r="M47" s="531">
        <v>3</v>
      </c>
      <c r="N47" s="531">
        <v>1</v>
      </c>
      <c r="O47" s="531">
        <v>3</v>
      </c>
      <c r="P47" s="531">
        <v>2</v>
      </c>
      <c r="Q47" s="531">
        <v>2</v>
      </c>
      <c r="R47" s="531">
        <v>2</v>
      </c>
      <c r="S47" s="532">
        <v>0</v>
      </c>
    </row>
    <row r="48" spans="1:19" ht="15" hidden="1" customHeight="1" x14ac:dyDescent="0.25">
      <c r="A48" s="516"/>
      <c r="B48" s="522" t="s">
        <v>29</v>
      </c>
      <c r="C48" s="750"/>
      <c r="E48" s="1076"/>
      <c r="F48" s="1077"/>
      <c r="G48" s="1078"/>
      <c r="H48" s="519">
        <v>28</v>
      </c>
      <c r="I48" s="520">
        <v>29</v>
      </c>
      <c r="J48" s="520">
        <v>30</v>
      </c>
      <c r="K48" s="505" t="s">
        <v>136</v>
      </c>
      <c r="L48" s="520">
        <v>36</v>
      </c>
      <c r="M48" s="975">
        <v>36</v>
      </c>
      <c r="N48" s="520">
        <v>38</v>
      </c>
      <c r="O48" s="520">
        <v>30</v>
      </c>
      <c r="P48" s="520">
        <v>30</v>
      </c>
      <c r="Q48" s="520"/>
      <c r="R48" s="520"/>
      <c r="S48" s="532"/>
    </row>
    <row r="49" spans="1:19" ht="15" hidden="1" customHeight="1" x14ac:dyDescent="0.25">
      <c r="A49" s="516"/>
      <c r="B49" s="522" t="s">
        <v>30</v>
      </c>
      <c r="C49" s="750"/>
      <c r="E49" s="1076"/>
      <c r="F49" s="1077"/>
      <c r="G49" s="1078"/>
      <c r="H49" s="533">
        <v>23</v>
      </c>
      <c r="I49" s="533">
        <v>29</v>
      </c>
      <c r="J49" s="533">
        <v>21</v>
      </c>
      <c r="K49" s="505" t="s">
        <v>136</v>
      </c>
      <c r="L49" s="505" t="s">
        <v>136</v>
      </c>
      <c r="M49" s="976" t="s">
        <v>136</v>
      </c>
      <c r="N49" s="505" t="s">
        <v>136</v>
      </c>
      <c r="O49" s="505" t="s">
        <v>136</v>
      </c>
      <c r="P49" s="533"/>
      <c r="Q49" s="533"/>
      <c r="R49" s="520"/>
      <c r="S49" s="532"/>
    </row>
    <row r="50" spans="1:19" ht="15" hidden="1" customHeight="1" x14ac:dyDescent="0.25">
      <c r="A50" s="516"/>
      <c r="B50" s="522" t="s">
        <v>36</v>
      </c>
      <c r="C50" s="902"/>
      <c r="D50" s="871"/>
      <c r="E50" s="788">
        <v>52</v>
      </c>
      <c r="F50" s="789">
        <v>70</v>
      </c>
      <c r="G50" s="529">
        <f>SUM(H50:S50)</f>
        <v>12</v>
      </c>
      <c r="H50" s="519">
        <v>6</v>
      </c>
      <c r="I50" s="520">
        <v>6</v>
      </c>
      <c r="J50" s="505" t="s">
        <v>136</v>
      </c>
      <c r="K50" s="505" t="s">
        <v>136</v>
      </c>
      <c r="L50" s="505" t="s">
        <v>136</v>
      </c>
      <c r="M50" s="976" t="s">
        <v>136</v>
      </c>
      <c r="N50" s="505" t="s">
        <v>136</v>
      </c>
      <c r="O50" s="520">
        <v>0</v>
      </c>
      <c r="P50" s="520">
        <v>0</v>
      </c>
      <c r="Q50" s="520"/>
      <c r="R50" s="520"/>
      <c r="S50" s="521"/>
    </row>
    <row r="51" spans="1:19" ht="15" hidden="1" customHeight="1" x14ac:dyDescent="0.25">
      <c r="A51" s="516"/>
      <c r="B51" s="514" t="s">
        <v>35</v>
      </c>
      <c r="C51" s="903"/>
      <c r="D51" s="872"/>
      <c r="E51" s="790">
        <v>269</v>
      </c>
      <c r="F51" s="791">
        <v>300</v>
      </c>
      <c r="G51" s="530">
        <f>SUM(H51:S51)</f>
        <v>250</v>
      </c>
      <c r="H51" s="524">
        <v>33</v>
      </c>
      <c r="I51" s="525">
        <v>22</v>
      </c>
      <c r="J51" s="533">
        <v>17</v>
      </c>
      <c r="K51" s="533">
        <v>23</v>
      </c>
      <c r="L51" s="533">
        <v>23</v>
      </c>
      <c r="M51" s="977">
        <v>32</v>
      </c>
      <c r="N51" s="525">
        <v>30</v>
      </c>
      <c r="O51" s="525">
        <v>34</v>
      </c>
      <c r="P51" s="525">
        <v>36</v>
      </c>
      <c r="Q51" s="525"/>
      <c r="R51" s="525"/>
      <c r="S51" s="526"/>
    </row>
    <row r="52" spans="1:19" s="655" customFormat="1" ht="15.95" customHeight="1" x14ac:dyDescent="0.25">
      <c r="A52" s="654"/>
      <c r="B52" s="1079" t="s">
        <v>382</v>
      </c>
      <c r="C52" s="1080"/>
      <c r="D52" s="1080"/>
      <c r="E52" s="1080"/>
      <c r="F52" s="1080"/>
      <c r="G52" s="1080"/>
      <c r="H52" s="1080"/>
      <c r="I52" s="1080"/>
      <c r="J52" s="1080"/>
      <c r="K52" s="1080"/>
      <c r="L52" s="1080"/>
      <c r="M52" s="1080"/>
      <c r="N52" s="1080"/>
      <c r="O52" s="1080"/>
      <c r="P52" s="1080"/>
      <c r="Q52" s="1080"/>
      <c r="R52" s="1080"/>
      <c r="S52" s="1081"/>
    </row>
    <row r="53" spans="1:19" ht="15" customHeight="1" x14ac:dyDescent="0.25">
      <c r="A53" s="516"/>
      <c r="B53" s="509" t="s">
        <v>296</v>
      </c>
      <c r="C53" s="750"/>
      <c r="E53" s="724">
        <v>0</v>
      </c>
      <c r="F53" s="725">
        <v>988</v>
      </c>
      <c r="G53" s="722">
        <f>SUM(H53:S53)</f>
        <v>967</v>
      </c>
      <c r="H53" s="861">
        <v>87</v>
      </c>
      <c r="I53" s="670">
        <v>94</v>
      </c>
      <c r="J53" s="670">
        <v>81</v>
      </c>
      <c r="K53" s="861">
        <v>79</v>
      </c>
      <c r="L53" s="861">
        <v>79</v>
      </c>
      <c r="M53" s="670">
        <v>80</v>
      </c>
      <c r="N53" s="670">
        <v>78</v>
      </c>
      <c r="O53" s="670">
        <v>78</v>
      </c>
      <c r="P53" s="670">
        <v>79</v>
      </c>
      <c r="Q53" s="670">
        <v>77</v>
      </c>
      <c r="R53" s="670">
        <v>77</v>
      </c>
      <c r="S53" s="671">
        <v>78</v>
      </c>
    </row>
    <row r="54" spans="1:19" ht="15" customHeight="1" x14ac:dyDescent="0.25">
      <c r="A54" s="516"/>
      <c r="B54" s="762" t="s">
        <v>297</v>
      </c>
      <c r="C54" s="907"/>
      <c r="E54" s="724">
        <v>0</v>
      </c>
      <c r="F54" s="725">
        <v>27</v>
      </c>
      <c r="G54" s="723">
        <f>SUM(H54:S54)</f>
        <v>13</v>
      </c>
      <c r="H54" s="812">
        <v>1</v>
      </c>
      <c r="I54" s="525">
        <v>1</v>
      </c>
      <c r="J54" s="525">
        <v>1</v>
      </c>
      <c r="K54" s="812">
        <v>1</v>
      </c>
      <c r="L54" s="525">
        <v>1</v>
      </c>
      <c r="M54" s="525">
        <v>1</v>
      </c>
      <c r="N54" s="525">
        <v>0</v>
      </c>
      <c r="O54" s="525">
        <v>1</v>
      </c>
      <c r="P54" s="525">
        <v>3</v>
      </c>
      <c r="Q54" s="525">
        <v>0</v>
      </c>
      <c r="R54" s="670">
        <v>1</v>
      </c>
      <c r="S54" s="526">
        <v>2</v>
      </c>
    </row>
    <row r="55" spans="1:19" ht="15" customHeight="1" x14ac:dyDescent="0.25">
      <c r="A55" s="516"/>
      <c r="B55" s="762" t="s">
        <v>298</v>
      </c>
      <c r="C55" s="907"/>
      <c r="E55" s="724">
        <v>0</v>
      </c>
      <c r="F55" s="725">
        <v>21</v>
      </c>
      <c r="G55" s="723">
        <f>SUM(H55:S55)</f>
        <v>22</v>
      </c>
      <c r="H55" s="812">
        <v>0</v>
      </c>
      <c r="I55" s="525">
        <v>6</v>
      </c>
      <c r="J55" s="525">
        <v>2</v>
      </c>
      <c r="K55" s="812">
        <v>1</v>
      </c>
      <c r="L55" s="525">
        <v>1</v>
      </c>
      <c r="M55" s="525">
        <v>3</v>
      </c>
      <c r="N55" s="525">
        <v>2</v>
      </c>
      <c r="O55" s="525">
        <v>2</v>
      </c>
      <c r="P55" s="525">
        <v>1</v>
      </c>
      <c r="Q55" s="525">
        <v>2</v>
      </c>
      <c r="R55" s="670">
        <v>1</v>
      </c>
      <c r="S55" s="526">
        <v>1</v>
      </c>
    </row>
    <row r="56" spans="1:19" ht="15" customHeight="1" x14ac:dyDescent="0.25">
      <c r="A56" s="516"/>
      <c r="B56" s="534" t="s">
        <v>299</v>
      </c>
      <c r="E56" s="724">
        <v>0</v>
      </c>
      <c r="F56" s="725">
        <v>195</v>
      </c>
      <c r="G56" s="723">
        <f>SUM(H56:S56)</f>
        <v>205</v>
      </c>
      <c r="H56" s="812">
        <v>20</v>
      </c>
      <c r="I56" s="525">
        <v>17</v>
      </c>
      <c r="J56" s="525">
        <v>16</v>
      </c>
      <c r="K56" s="812">
        <v>19</v>
      </c>
      <c r="L56" s="525">
        <v>20</v>
      </c>
      <c r="M56" s="525">
        <v>22</v>
      </c>
      <c r="N56" s="525">
        <v>17</v>
      </c>
      <c r="O56" s="525">
        <v>15</v>
      </c>
      <c r="P56" s="525">
        <v>16</v>
      </c>
      <c r="Q56" s="525">
        <v>12</v>
      </c>
      <c r="R56" s="670">
        <v>14</v>
      </c>
      <c r="S56" s="526">
        <v>17</v>
      </c>
    </row>
    <row r="57" spans="1:19" s="655" customFormat="1" ht="15.95" customHeight="1" x14ac:dyDescent="0.25">
      <c r="A57" s="654"/>
      <c r="B57" s="1051" t="s">
        <v>39</v>
      </c>
      <c r="C57" s="1052"/>
      <c r="D57" s="1052"/>
      <c r="E57" s="1052"/>
      <c r="F57" s="1052"/>
      <c r="G57" s="1052"/>
      <c r="H57" s="1052"/>
      <c r="I57" s="1052"/>
      <c r="J57" s="1052"/>
      <c r="K57" s="1052"/>
      <c r="L57" s="1052"/>
      <c r="M57" s="1052"/>
      <c r="N57" s="1052"/>
      <c r="O57" s="1052"/>
      <c r="P57" s="1052"/>
      <c r="Q57" s="1052"/>
      <c r="R57" s="1052"/>
      <c r="S57" s="1053"/>
    </row>
    <row r="58" spans="1:19" ht="15" customHeight="1" x14ac:dyDescent="0.25">
      <c r="A58" s="516"/>
      <c r="B58" s="536" t="s">
        <v>416</v>
      </c>
      <c r="C58" s="909"/>
      <c r="D58" s="871"/>
      <c r="E58" s="667">
        <v>388</v>
      </c>
      <c r="F58" s="510">
        <v>374</v>
      </c>
      <c r="G58" s="961">
        <f t="shared" ref="G58:G63" si="2">SUM(H58:S58)</f>
        <v>613</v>
      </c>
      <c r="H58" s="537">
        <v>127</v>
      </c>
      <c r="I58" s="537">
        <v>117</v>
      </c>
      <c r="J58" s="538" t="s">
        <v>397</v>
      </c>
      <c r="K58" s="538" t="s">
        <v>397</v>
      </c>
      <c r="L58" s="538" t="s">
        <v>397</v>
      </c>
      <c r="M58" s="538" t="s">
        <v>397</v>
      </c>
      <c r="N58" s="538" t="s">
        <v>397</v>
      </c>
      <c r="O58" s="538" t="s">
        <v>397</v>
      </c>
      <c r="P58" s="538" t="s">
        <v>397</v>
      </c>
      <c r="Q58" s="538" t="s">
        <v>397</v>
      </c>
      <c r="R58" s="538">
        <v>144</v>
      </c>
      <c r="S58" s="569">
        <v>225</v>
      </c>
    </row>
    <row r="59" spans="1:19" ht="15" customHeight="1" x14ac:dyDescent="0.25">
      <c r="A59" s="516"/>
      <c r="B59" s="762" t="s">
        <v>417</v>
      </c>
      <c r="C59" s="910"/>
      <c r="D59" s="873"/>
      <c r="E59" s="667">
        <v>755</v>
      </c>
      <c r="F59" s="523">
        <v>768</v>
      </c>
      <c r="G59" s="961">
        <f t="shared" si="2"/>
        <v>982</v>
      </c>
      <c r="H59" s="540">
        <v>230</v>
      </c>
      <c r="I59" s="540">
        <v>215</v>
      </c>
      <c r="J59" s="538" t="s">
        <v>397</v>
      </c>
      <c r="K59" s="538" t="s">
        <v>397</v>
      </c>
      <c r="L59" s="538" t="s">
        <v>397</v>
      </c>
      <c r="M59" s="538" t="s">
        <v>397</v>
      </c>
      <c r="N59" s="538" t="s">
        <v>397</v>
      </c>
      <c r="O59" s="538" t="s">
        <v>397</v>
      </c>
      <c r="P59" s="538" t="s">
        <v>397</v>
      </c>
      <c r="Q59" s="538" t="s">
        <v>397</v>
      </c>
      <c r="R59" s="541">
        <v>37</v>
      </c>
      <c r="S59" s="539">
        <v>500</v>
      </c>
    </row>
    <row r="60" spans="1:19" ht="15" customHeight="1" x14ac:dyDescent="0.25">
      <c r="A60" s="516"/>
      <c r="B60" s="534" t="s">
        <v>410</v>
      </c>
      <c r="C60" s="911"/>
      <c r="D60" s="873"/>
      <c r="E60" s="667">
        <v>1600</v>
      </c>
      <c r="F60" s="523">
        <v>1484</v>
      </c>
      <c r="G60" s="961">
        <f t="shared" si="2"/>
        <v>1066</v>
      </c>
      <c r="H60" s="540" t="s">
        <v>144</v>
      </c>
      <c r="I60" s="540">
        <v>1</v>
      </c>
      <c r="J60" s="538">
        <v>177</v>
      </c>
      <c r="K60" s="853">
        <v>439</v>
      </c>
      <c r="L60" s="541">
        <v>449</v>
      </c>
      <c r="M60" s="538" t="s">
        <v>397</v>
      </c>
      <c r="N60" s="538" t="s">
        <v>397</v>
      </c>
      <c r="O60" s="538" t="s">
        <v>397</v>
      </c>
      <c r="P60" s="538" t="s">
        <v>397</v>
      </c>
      <c r="Q60" s="538" t="s">
        <v>397</v>
      </c>
      <c r="R60" s="538" t="s">
        <v>397</v>
      </c>
      <c r="S60" s="538" t="s">
        <v>397</v>
      </c>
    </row>
    <row r="61" spans="1:19" ht="15" customHeight="1" x14ac:dyDescent="0.25">
      <c r="A61" s="516"/>
      <c r="B61" s="762" t="s">
        <v>411</v>
      </c>
      <c r="C61" s="910"/>
      <c r="D61" s="873"/>
      <c r="E61" s="667">
        <v>3154</v>
      </c>
      <c r="F61" s="523">
        <v>3878</v>
      </c>
      <c r="G61" s="961">
        <f t="shared" si="2"/>
        <v>2422</v>
      </c>
      <c r="H61" s="540" t="s">
        <v>144</v>
      </c>
      <c r="I61" s="540">
        <v>4</v>
      </c>
      <c r="J61" s="538">
        <v>27</v>
      </c>
      <c r="K61" s="853">
        <v>1174</v>
      </c>
      <c r="L61" s="541">
        <v>1217</v>
      </c>
      <c r="M61" s="538" t="s">
        <v>397</v>
      </c>
      <c r="N61" s="538" t="s">
        <v>397</v>
      </c>
      <c r="O61" s="538" t="s">
        <v>397</v>
      </c>
      <c r="P61" s="538" t="s">
        <v>397</v>
      </c>
      <c r="Q61" s="538" t="s">
        <v>397</v>
      </c>
      <c r="R61" s="538" t="s">
        <v>397</v>
      </c>
      <c r="S61" s="538" t="s">
        <v>397</v>
      </c>
    </row>
    <row r="62" spans="1:19" ht="15" customHeight="1" x14ac:dyDescent="0.25">
      <c r="A62" s="516"/>
      <c r="B62" s="534" t="s">
        <v>412</v>
      </c>
      <c r="C62" s="911"/>
      <c r="D62" s="873"/>
      <c r="E62" s="667">
        <v>2617</v>
      </c>
      <c r="F62" s="523">
        <v>2893</v>
      </c>
      <c r="G62" s="961">
        <f t="shared" si="2"/>
        <v>1976</v>
      </c>
      <c r="H62" s="540" t="s">
        <v>144</v>
      </c>
      <c r="I62" s="540">
        <v>1</v>
      </c>
      <c r="J62" s="538">
        <v>193</v>
      </c>
      <c r="K62" s="853">
        <v>799</v>
      </c>
      <c r="L62" s="541">
        <v>983</v>
      </c>
      <c r="M62" s="538" t="s">
        <v>397</v>
      </c>
      <c r="N62" s="538" t="s">
        <v>397</v>
      </c>
      <c r="O62" s="538" t="s">
        <v>397</v>
      </c>
      <c r="P62" s="538" t="s">
        <v>397</v>
      </c>
      <c r="Q62" s="538" t="s">
        <v>397</v>
      </c>
      <c r="R62" s="538" t="s">
        <v>397</v>
      </c>
      <c r="S62" s="538" t="s">
        <v>397</v>
      </c>
    </row>
    <row r="63" spans="1:19" ht="15" customHeight="1" x14ac:dyDescent="0.25">
      <c r="A63" s="516"/>
      <c r="B63" s="761" t="s">
        <v>409</v>
      </c>
      <c r="C63" s="906"/>
      <c r="D63" s="872"/>
      <c r="E63" s="667">
        <v>4752</v>
      </c>
      <c r="F63" s="515">
        <v>6632</v>
      </c>
      <c r="G63" s="961">
        <f t="shared" si="2"/>
        <v>4293</v>
      </c>
      <c r="H63" s="540" t="s">
        <v>144</v>
      </c>
      <c r="I63" s="540">
        <v>4</v>
      </c>
      <c r="J63" s="538">
        <v>157</v>
      </c>
      <c r="K63" s="854">
        <v>1825</v>
      </c>
      <c r="L63" s="541">
        <v>2307</v>
      </c>
      <c r="M63" s="538" t="s">
        <v>397</v>
      </c>
      <c r="N63" s="538" t="s">
        <v>397</v>
      </c>
      <c r="O63" s="538" t="s">
        <v>397</v>
      </c>
      <c r="P63" s="538" t="s">
        <v>397</v>
      </c>
      <c r="Q63" s="538" t="s">
        <v>397</v>
      </c>
      <c r="R63" s="538" t="s">
        <v>397</v>
      </c>
      <c r="S63" s="538" t="s">
        <v>397</v>
      </c>
    </row>
    <row r="64" spans="1:19" s="655" customFormat="1" ht="15.95" customHeight="1" x14ac:dyDescent="0.25">
      <c r="A64" s="654"/>
      <c r="B64" s="1051" t="s">
        <v>240</v>
      </c>
      <c r="C64" s="1052"/>
      <c r="D64" s="1052"/>
      <c r="E64" s="1052"/>
      <c r="F64" s="1052"/>
      <c r="G64" s="1052"/>
      <c r="H64" s="1052"/>
      <c r="I64" s="1052"/>
      <c r="J64" s="1052"/>
      <c r="K64" s="1052"/>
      <c r="L64" s="1052"/>
      <c r="M64" s="1052"/>
      <c r="N64" s="1052"/>
      <c r="O64" s="1052"/>
      <c r="P64" s="1052"/>
      <c r="Q64" s="1052"/>
      <c r="R64" s="1052"/>
      <c r="S64" s="1053"/>
    </row>
    <row r="65" spans="1:20" ht="15" customHeight="1" x14ac:dyDescent="0.25">
      <c r="A65" s="516"/>
      <c r="B65" s="509" t="s">
        <v>304</v>
      </c>
      <c r="C65" s="750"/>
      <c r="E65" s="934">
        <v>2738194.7</v>
      </c>
      <c r="F65" s="544">
        <v>2602313.4900000002</v>
      </c>
      <c r="G65" s="544">
        <f t="shared" ref="G65:G76" si="3">SUM(H65:S65)</f>
        <v>3030050.0200000005</v>
      </c>
      <c r="H65" s="545">
        <v>229485.69</v>
      </c>
      <c r="I65" s="554">
        <v>301790.13</v>
      </c>
      <c r="J65" s="554">
        <v>247054.86</v>
      </c>
      <c r="K65" s="855">
        <v>253350.33</v>
      </c>
      <c r="L65" s="554">
        <v>251202.39</v>
      </c>
      <c r="M65" s="554">
        <v>258004.39</v>
      </c>
      <c r="N65" s="554">
        <v>266528.8</v>
      </c>
      <c r="O65" s="554">
        <v>270733.88</v>
      </c>
      <c r="P65" s="554">
        <v>267017.59000000003</v>
      </c>
      <c r="Q65" s="956">
        <v>237166.76</v>
      </c>
      <c r="R65" s="958">
        <v>219912.02</v>
      </c>
      <c r="S65" s="957">
        <v>227803.18</v>
      </c>
    </row>
    <row r="66" spans="1:20" ht="15" customHeight="1" x14ac:dyDescent="0.25">
      <c r="A66" s="516"/>
      <c r="B66" s="522" t="s">
        <v>305</v>
      </c>
      <c r="C66" s="750"/>
      <c r="E66" s="934">
        <v>27598.720000000005</v>
      </c>
      <c r="F66" s="544">
        <v>26937.960000000003</v>
      </c>
      <c r="G66" s="544">
        <f t="shared" si="3"/>
        <v>30397.840000000004</v>
      </c>
      <c r="H66" s="545">
        <v>2846.46</v>
      </c>
      <c r="I66" s="554">
        <v>3099.98</v>
      </c>
      <c r="J66" s="554">
        <v>2657.46</v>
      </c>
      <c r="K66" s="855">
        <v>2691.22</v>
      </c>
      <c r="L66" s="554">
        <v>2587.84</v>
      </c>
      <c r="M66" s="554">
        <v>2634.48</v>
      </c>
      <c r="N66" s="554">
        <v>2617.34</v>
      </c>
      <c r="O66" s="554">
        <v>2633.34</v>
      </c>
      <c r="P66" s="554">
        <v>2224.14</v>
      </c>
      <c r="Q66" s="696">
        <v>2254</v>
      </c>
      <c r="R66" s="958">
        <v>2134.86</v>
      </c>
      <c r="S66" s="957">
        <v>2016.72</v>
      </c>
    </row>
    <row r="67" spans="1:20" ht="15" customHeight="1" x14ac:dyDescent="0.25">
      <c r="A67" s="516"/>
      <c r="B67" s="522" t="s">
        <v>243</v>
      </c>
      <c r="C67" s="750"/>
      <c r="E67" s="934">
        <v>101712.98000000001</v>
      </c>
      <c r="F67" s="544">
        <v>118663.80000000002</v>
      </c>
      <c r="G67" s="544">
        <f t="shared" si="3"/>
        <v>115666.46</v>
      </c>
      <c r="H67" s="545">
        <f>11540+13590</f>
        <v>25130</v>
      </c>
      <c r="I67" s="554">
        <v>5388.97</v>
      </c>
      <c r="J67" s="923">
        <v>1265.75</v>
      </c>
      <c r="K67" s="855">
        <f>10510+11610</f>
        <v>22120</v>
      </c>
      <c r="L67" s="554">
        <v>5901.97</v>
      </c>
      <c r="M67" s="554">
        <v>270</v>
      </c>
      <c r="N67" s="554">
        <f>13140+11640</f>
        <v>24780</v>
      </c>
      <c r="O67" s="554">
        <v>3890.41</v>
      </c>
      <c r="P67" s="554">
        <v>1469.36</v>
      </c>
      <c r="Q67" s="956">
        <f>12110+11260</f>
        <v>23370</v>
      </c>
      <c r="R67" s="958">
        <v>1730</v>
      </c>
      <c r="S67" s="696">
        <v>350</v>
      </c>
    </row>
    <row r="68" spans="1:20" ht="15" customHeight="1" x14ac:dyDescent="0.25">
      <c r="A68" s="516"/>
      <c r="B68" s="514" t="s">
        <v>244</v>
      </c>
      <c r="C68" s="750"/>
      <c r="E68" s="934">
        <v>39218.49</v>
      </c>
      <c r="F68" s="544">
        <v>19580.650000000001</v>
      </c>
      <c r="G68" s="544">
        <f t="shared" si="3"/>
        <v>16882.22</v>
      </c>
      <c r="H68" s="923">
        <v>1860.19</v>
      </c>
      <c r="I68" s="554">
        <v>1005.86</v>
      </c>
      <c r="J68" s="554">
        <v>1984</v>
      </c>
      <c r="K68" s="855">
        <v>695</v>
      </c>
      <c r="L68" s="554">
        <v>1240</v>
      </c>
      <c r="M68" s="554">
        <v>370</v>
      </c>
      <c r="N68" s="696">
        <v>1473</v>
      </c>
      <c r="O68" s="554">
        <v>660</v>
      </c>
      <c r="P68" s="554">
        <v>2611.9899999999998</v>
      </c>
      <c r="Q68" s="696">
        <v>1161.71</v>
      </c>
      <c r="R68" s="958">
        <v>1985.47</v>
      </c>
      <c r="S68" s="957">
        <v>1835</v>
      </c>
    </row>
    <row r="69" spans="1:20" ht="15" customHeight="1" x14ac:dyDescent="0.25">
      <c r="A69" s="516"/>
      <c r="B69" s="509" t="s">
        <v>245</v>
      </c>
      <c r="C69" s="750"/>
      <c r="E69" s="934">
        <v>105088.07</v>
      </c>
      <c r="F69" s="544">
        <v>145806.03000000003</v>
      </c>
      <c r="G69" s="544">
        <f t="shared" si="3"/>
        <v>243459.55</v>
      </c>
      <c r="H69" s="545">
        <f>26376.75+275.96</f>
        <v>26652.71</v>
      </c>
      <c r="I69" s="554">
        <f>SUM(28617.71+267.94)</f>
        <v>28885.649999999998</v>
      </c>
      <c r="J69" s="953">
        <f>27349.53+592.32</f>
        <v>27941.85</v>
      </c>
      <c r="K69" s="855">
        <v>15680.29</v>
      </c>
      <c r="L69" s="554">
        <f>10528.04+500+629.18</f>
        <v>11657.220000000001</v>
      </c>
      <c r="M69" s="554">
        <f>12806.18+430</f>
        <v>13236.18</v>
      </c>
      <c r="N69" s="696">
        <f>23154.7+260</f>
        <v>23414.7</v>
      </c>
      <c r="O69" s="554">
        <f>9920.46+107.28</f>
        <v>10027.74</v>
      </c>
      <c r="P69" s="554">
        <f>16348.53+3686</f>
        <v>20034.53</v>
      </c>
      <c r="Q69" s="956">
        <f>15523.72+7020</f>
        <v>22543.72</v>
      </c>
      <c r="R69" s="958">
        <f>10611.15+3820+60.12</f>
        <v>14491.27</v>
      </c>
      <c r="S69" s="957">
        <f>27406.79+1156+330.9</f>
        <v>28893.690000000002</v>
      </c>
    </row>
    <row r="70" spans="1:20" ht="15" customHeight="1" x14ac:dyDescent="0.25">
      <c r="A70" s="516"/>
      <c r="B70" s="522" t="s">
        <v>306</v>
      </c>
      <c r="C70" s="750"/>
      <c r="E70" s="934">
        <v>41296.51</v>
      </c>
      <c r="F70" s="544">
        <v>11808.15</v>
      </c>
      <c r="G70" s="544">
        <f t="shared" si="3"/>
        <v>46934.93</v>
      </c>
      <c r="H70" s="545">
        <v>2956</v>
      </c>
      <c r="I70" s="554">
        <v>1944.6</v>
      </c>
      <c r="J70" s="554">
        <v>4988.43</v>
      </c>
      <c r="K70" s="855">
        <v>300</v>
      </c>
      <c r="L70" s="696">
        <v>1723.13</v>
      </c>
      <c r="M70" s="554">
        <v>750</v>
      </c>
      <c r="N70" s="554">
        <v>50</v>
      </c>
      <c r="O70" s="554">
        <v>6561</v>
      </c>
      <c r="P70" s="554">
        <v>1225.9100000000001</v>
      </c>
      <c r="Q70" s="956">
        <v>26136.47</v>
      </c>
      <c r="R70" s="958">
        <v>50</v>
      </c>
      <c r="S70" s="957">
        <v>249.39</v>
      </c>
    </row>
    <row r="71" spans="1:20" ht="15" customHeight="1" x14ac:dyDescent="0.25">
      <c r="A71" s="516"/>
      <c r="B71" s="522" t="s">
        <v>307</v>
      </c>
      <c r="C71" s="750"/>
      <c r="E71" s="934">
        <v>12821.310000000001</v>
      </c>
      <c r="F71" s="544">
        <v>82654.910000000018</v>
      </c>
      <c r="G71" s="544">
        <f t="shared" si="3"/>
        <v>38534.750000000007</v>
      </c>
      <c r="H71" s="545">
        <v>1021.69</v>
      </c>
      <c r="I71" s="554">
        <v>5600.46</v>
      </c>
      <c r="J71" s="554">
        <v>3602.96</v>
      </c>
      <c r="K71" s="855">
        <v>1334.8</v>
      </c>
      <c r="L71" s="554">
        <v>1762.95</v>
      </c>
      <c r="M71" s="554">
        <v>4219.37</v>
      </c>
      <c r="N71" s="554">
        <v>6042.59</v>
      </c>
      <c r="O71" s="554">
        <v>635.9</v>
      </c>
      <c r="P71" s="554">
        <v>4570.01</v>
      </c>
      <c r="Q71" s="956">
        <v>4475.72</v>
      </c>
      <c r="R71" s="958">
        <v>3274.5</v>
      </c>
      <c r="S71" s="957">
        <v>1993.8</v>
      </c>
    </row>
    <row r="72" spans="1:20" ht="15" customHeight="1" x14ac:dyDescent="0.25">
      <c r="A72" s="516"/>
      <c r="B72" s="534" t="s">
        <v>308</v>
      </c>
      <c r="D72" s="878"/>
      <c r="E72" s="934">
        <v>1244</v>
      </c>
      <c r="F72" s="544">
        <v>1810</v>
      </c>
      <c r="G72" s="544">
        <f t="shared" si="3"/>
        <v>514</v>
      </c>
      <c r="H72" s="545">
        <v>0</v>
      </c>
      <c r="I72" s="545">
        <v>0</v>
      </c>
      <c r="J72" s="545">
        <v>0</v>
      </c>
      <c r="K72" s="545">
        <v>0</v>
      </c>
      <c r="L72" s="545">
        <v>0</v>
      </c>
      <c r="M72" s="545">
        <v>0</v>
      </c>
      <c r="N72" s="554">
        <v>514</v>
      </c>
      <c r="O72" s="554">
        <v>0</v>
      </c>
      <c r="P72" s="554">
        <v>0</v>
      </c>
      <c r="Q72" s="554">
        <v>0</v>
      </c>
      <c r="R72" s="554">
        <v>0</v>
      </c>
      <c r="S72" s="554">
        <v>0</v>
      </c>
    </row>
    <row r="73" spans="1:20" ht="15" customHeight="1" x14ac:dyDescent="0.25">
      <c r="A73" s="516"/>
      <c r="B73" s="534" t="s">
        <v>404</v>
      </c>
      <c r="D73" s="878"/>
      <c r="E73" s="934">
        <v>76144.849999999991</v>
      </c>
      <c r="F73" s="544">
        <v>70</v>
      </c>
      <c r="G73" s="544">
        <f t="shared" si="3"/>
        <v>0</v>
      </c>
      <c r="H73" s="545">
        <v>0</v>
      </c>
      <c r="I73" s="545">
        <v>0</v>
      </c>
      <c r="J73" s="545">
        <v>0</v>
      </c>
      <c r="K73" s="545">
        <v>0</v>
      </c>
      <c r="L73" s="545">
        <v>0</v>
      </c>
      <c r="M73" s="545">
        <v>0</v>
      </c>
      <c r="N73" s="554">
        <v>0</v>
      </c>
      <c r="O73" s="554">
        <v>0</v>
      </c>
      <c r="P73" s="554">
        <v>0</v>
      </c>
      <c r="Q73" s="554">
        <v>0</v>
      </c>
      <c r="R73" s="554">
        <v>0</v>
      </c>
      <c r="S73" s="554">
        <v>0</v>
      </c>
    </row>
    <row r="74" spans="1:20" ht="15" customHeight="1" x14ac:dyDescent="0.25">
      <c r="A74" s="516"/>
      <c r="B74" s="534" t="s">
        <v>393</v>
      </c>
      <c r="D74" s="878"/>
      <c r="E74" s="934">
        <v>36777.25</v>
      </c>
      <c r="F74" s="544">
        <v>41379.12999999999</v>
      </c>
      <c r="G74" s="544">
        <f t="shared" si="3"/>
        <v>140262.32999999999</v>
      </c>
      <c r="H74" s="545">
        <v>14926.4</v>
      </c>
      <c r="I74" s="554">
        <v>60526.61</v>
      </c>
      <c r="J74" s="554">
        <v>3757.26</v>
      </c>
      <c r="K74" s="855">
        <v>1312.12</v>
      </c>
      <c r="L74" s="554">
        <v>2614.42</v>
      </c>
      <c r="M74" s="554">
        <v>1942.18</v>
      </c>
      <c r="N74" s="554">
        <v>12127.24</v>
      </c>
      <c r="O74" s="554">
        <v>8684.42</v>
      </c>
      <c r="P74" s="554">
        <v>12795.1</v>
      </c>
      <c r="Q74" s="956">
        <v>15002.82</v>
      </c>
      <c r="R74" s="958">
        <v>4637.67</v>
      </c>
      <c r="S74" s="957">
        <v>1936.09</v>
      </c>
    </row>
    <row r="75" spans="1:20" ht="15" customHeight="1" x14ac:dyDescent="0.25">
      <c r="A75" s="516"/>
      <c r="B75" s="534" t="s">
        <v>309</v>
      </c>
      <c r="D75" s="878"/>
      <c r="E75" s="934">
        <v>3106544.58</v>
      </c>
      <c r="F75" s="544">
        <v>2745272.69</v>
      </c>
      <c r="G75" s="544">
        <f t="shared" si="3"/>
        <v>3394484.3800000004</v>
      </c>
      <c r="H75" s="545">
        <v>275026.34000000003</v>
      </c>
      <c r="I75" s="554">
        <v>287189.03999999998</v>
      </c>
      <c r="J75" s="554">
        <v>285738.05</v>
      </c>
      <c r="K75" s="855">
        <v>295039.52</v>
      </c>
      <c r="L75" s="554">
        <v>273461.08</v>
      </c>
      <c r="M75" s="554">
        <v>277542.24</v>
      </c>
      <c r="N75" s="554">
        <v>325420.43</v>
      </c>
      <c r="O75" s="554">
        <v>286457.84999999998</v>
      </c>
      <c r="P75" s="554">
        <v>286358.43</v>
      </c>
      <c r="Q75" s="956">
        <v>302105.26</v>
      </c>
      <c r="R75" s="958">
        <v>238940.45</v>
      </c>
      <c r="S75" s="957">
        <v>261205.69</v>
      </c>
      <c r="T75" s="556"/>
    </row>
    <row r="76" spans="1:20" ht="31.5" customHeight="1" x14ac:dyDescent="0.25">
      <c r="A76" s="516"/>
      <c r="B76" s="535" t="s">
        <v>310</v>
      </c>
      <c r="D76" s="877"/>
      <c r="E76" s="934">
        <v>11078</v>
      </c>
      <c r="F76" s="544">
        <v>1902</v>
      </c>
      <c r="G76" s="544">
        <f t="shared" si="3"/>
        <v>0</v>
      </c>
      <c r="H76" s="545">
        <v>0</v>
      </c>
      <c r="I76" s="545">
        <v>0</v>
      </c>
      <c r="J76" s="545">
        <v>0</v>
      </c>
      <c r="K76" s="545">
        <v>0</v>
      </c>
      <c r="L76" s="545">
        <v>0</v>
      </c>
      <c r="M76" s="545">
        <v>0</v>
      </c>
      <c r="N76" s="545">
        <v>0</v>
      </c>
      <c r="O76" s="554">
        <v>0</v>
      </c>
      <c r="P76" s="554">
        <v>0</v>
      </c>
      <c r="Q76" s="956">
        <v>0</v>
      </c>
      <c r="R76" s="956">
        <v>0</v>
      </c>
      <c r="S76" s="956">
        <v>0</v>
      </c>
    </row>
    <row r="77" spans="1:20" s="655" customFormat="1" ht="15.95" customHeight="1" x14ac:dyDescent="0.25">
      <c r="A77" s="654"/>
      <c r="B77" s="1063" t="s">
        <v>43</v>
      </c>
      <c r="C77" s="1064"/>
      <c r="D77" s="1064"/>
      <c r="E77" s="1064"/>
      <c r="F77" s="1064"/>
      <c r="G77" s="1064"/>
      <c r="H77" s="1064"/>
      <c r="I77" s="1064"/>
      <c r="J77" s="1064"/>
      <c r="K77" s="1064"/>
      <c r="L77" s="1064"/>
      <c r="M77" s="1064"/>
      <c r="N77" s="1064"/>
      <c r="O77" s="1064"/>
      <c r="P77" s="1064"/>
      <c r="Q77" s="1064"/>
      <c r="R77" s="1064"/>
      <c r="S77" s="1065"/>
    </row>
    <row r="78" spans="1:20" s="655" customFormat="1" ht="15.95" customHeight="1" x14ac:dyDescent="0.25">
      <c r="A78" s="654"/>
      <c r="B78" s="1066" t="s">
        <v>44</v>
      </c>
      <c r="C78" s="1067"/>
      <c r="D78" s="1067"/>
      <c r="E78" s="1067"/>
      <c r="F78" s="1067"/>
      <c r="G78" s="1067"/>
      <c r="H78" s="1067"/>
      <c r="I78" s="1067"/>
      <c r="J78" s="1067"/>
      <c r="K78" s="1067"/>
      <c r="L78" s="1067"/>
      <c r="M78" s="1067"/>
      <c r="N78" s="1067"/>
      <c r="O78" s="1067"/>
      <c r="P78" s="1067"/>
      <c r="Q78" s="1067"/>
      <c r="R78" s="1067"/>
      <c r="S78" s="1068"/>
    </row>
    <row r="79" spans="1:20" ht="15" customHeight="1" x14ac:dyDescent="0.25">
      <c r="A79" s="516"/>
      <c r="B79" s="536" t="s">
        <v>311</v>
      </c>
      <c r="C79" s="909"/>
      <c r="D79" s="871"/>
      <c r="E79" s="686">
        <v>411</v>
      </c>
      <c r="F79" s="887">
        <v>412</v>
      </c>
      <c r="G79" s="653">
        <f>SUM(H79:S79)</f>
        <v>547</v>
      </c>
      <c r="H79" s="832">
        <v>34</v>
      </c>
      <c r="I79" s="833">
        <v>47</v>
      </c>
      <c r="J79" s="629">
        <v>45</v>
      </c>
      <c r="K79" s="561">
        <v>48</v>
      </c>
      <c r="L79" s="512">
        <v>46</v>
      </c>
      <c r="M79" s="512">
        <v>52</v>
      </c>
      <c r="N79" s="512">
        <v>50</v>
      </c>
      <c r="O79" s="512">
        <v>49</v>
      </c>
      <c r="P79" s="512">
        <v>53</v>
      </c>
      <c r="Q79" s="512">
        <v>39</v>
      </c>
      <c r="R79" s="512">
        <v>44</v>
      </c>
      <c r="S79" s="513">
        <v>40</v>
      </c>
    </row>
    <row r="80" spans="1:20" ht="15" customHeight="1" x14ac:dyDescent="0.25">
      <c r="A80" s="516"/>
      <c r="B80" s="534" t="s">
        <v>312</v>
      </c>
      <c r="C80" s="911"/>
      <c r="D80" s="873" t="s">
        <v>384</v>
      </c>
      <c r="E80" s="686">
        <v>5</v>
      </c>
      <c r="F80" s="888">
        <v>4.6666666670000003</v>
      </c>
      <c r="G80" s="653">
        <f>AVERAGE(H80:S80)</f>
        <v>7.083333333333333</v>
      </c>
      <c r="H80" s="519">
        <v>7</v>
      </c>
      <c r="I80" s="512">
        <v>5</v>
      </c>
      <c r="J80" s="520">
        <v>8</v>
      </c>
      <c r="K80" s="807">
        <v>6</v>
      </c>
      <c r="L80" s="520">
        <v>7</v>
      </c>
      <c r="M80" s="520">
        <v>8</v>
      </c>
      <c r="N80" s="520">
        <v>9</v>
      </c>
      <c r="O80" s="520">
        <v>8</v>
      </c>
      <c r="P80" s="520">
        <v>13</v>
      </c>
      <c r="Q80" s="520">
        <v>3</v>
      </c>
      <c r="R80" s="520">
        <v>9</v>
      </c>
      <c r="S80" s="521">
        <v>2</v>
      </c>
    </row>
    <row r="81" spans="1:19" ht="15" customHeight="1" x14ac:dyDescent="0.25">
      <c r="A81" s="516"/>
      <c r="B81" s="534" t="s">
        <v>269</v>
      </c>
      <c r="C81" s="911"/>
      <c r="D81" s="873" t="s">
        <v>384</v>
      </c>
      <c r="E81" s="686">
        <v>71.25</v>
      </c>
      <c r="F81" s="889">
        <v>61</v>
      </c>
      <c r="G81" s="653">
        <f>AVERAGE(H81:S81)</f>
        <v>83.833333333333329</v>
      </c>
      <c r="H81" s="533">
        <v>70</v>
      </c>
      <c r="I81" s="533">
        <v>79</v>
      </c>
      <c r="J81" s="533">
        <v>81</v>
      </c>
      <c r="K81" s="858">
        <v>89</v>
      </c>
      <c r="L81" s="533">
        <v>78</v>
      </c>
      <c r="M81" s="533">
        <v>87</v>
      </c>
      <c r="N81" s="533">
        <v>84</v>
      </c>
      <c r="O81" s="533">
        <v>91</v>
      </c>
      <c r="P81" s="533">
        <v>87</v>
      </c>
      <c r="Q81" s="533">
        <v>92</v>
      </c>
      <c r="R81" s="858">
        <v>89</v>
      </c>
      <c r="S81" s="539">
        <v>79</v>
      </c>
    </row>
    <row r="82" spans="1:19" ht="15" customHeight="1" x14ac:dyDescent="0.25">
      <c r="A82" s="516"/>
      <c r="B82" s="762" t="s">
        <v>313</v>
      </c>
      <c r="C82" s="907"/>
      <c r="E82" s="726">
        <v>0</v>
      </c>
      <c r="F82" s="726">
        <v>0</v>
      </c>
      <c r="G82" s="726">
        <v>0</v>
      </c>
      <c r="H82" s="533">
        <v>40</v>
      </c>
      <c r="I82" s="533">
        <v>50</v>
      </c>
      <c r="J82" s="533">
        <v>51</v>
      </c>
      <c r="K82" s="858">
        <v>52</v>
      </c>
      <c r="L82" s="533">
        <v>51</v>
      </c>
      <c r="M82" s="533">
        <v>55</v>
      </c>
      <c r="N82" s="533">
        <v>55</v>
      </c>
      <c r="O82" s="533">
        <v>56</v>
      </c>
      <c r="P82" s="533">
        <v>66</v>
      </c>
      <c r="Q82" s="533">
        <v>47</v>
      </c>
      <c r="R82" s="533">
        <v>45</v>
      </c>
      <c r="S82" s="532">
        <v>39</v>
      </c>
    </row>
    <row r="83" spans="1:19" ht="15" customHeight="1" x14ac:dyDescent="0.25">
      <c r="A83" s="516"/>
      <c r="B83" s="761" t="s">
        <v>314</v>
      </c>
      <c r="C83" s="907"/>
      <c r="E83" s="729">
        <v>0</v>
      </c>
      <c r="F83" s="729">
        <v>0</v>
      </c>
      <c r="G83" s="729">
        <v>0</v>
      </c>
      <c r="H83" s="533">
        <v>33</v>
      </c>
      <c r="I83" s="533">
        <v>33</v>
      </c>
      <c r="J83" s="533">
        <v>43</v>
      </c>
      <c r="K83" s="858">
        <v>43</v>
      </c>
      <c r="L83" s="533">
        <v>52</v>
      </c>
      <c r="M83" s="533">
        <v>43</v>
      </c>
      <c r="N83" s="533">
        <v>52</v>
      </c>
      <c r="O83" s="533">
        <v>48</v>
      </c>
      <c r="P83" s="533">
        <v>48</v>
      </c>
      <c r="Q83" s="533">
        <v>40</v>
      </c>
      <c r="R83" s="533">
        <v>42</v>
      </c>
      <c r="S83" s="560">
        <v>43</v>
      </c>
    </row>
    <row r="84" spans="1:19" s="655" customFormat="1" ht="15.95" customHeight="1" x14ac:dyDescent="0.25">
      <c r="A84" s="654"/>
      <c r="B84" s="1051" t="s">
        <v>50</v>
      </c>
      <c r="C84" s="1052"/>
      <c r="D84" s="1052"/>
      <c r="E84" s="1052"/>
      <c r="F84" s="1052"/>
      <c r="G84" s="1052"/>
      <c r="H84" s="1052"/>
      <c r="I84" s="1052"/>
      <c r="J84" s="1052"/>
      <c r="K84" s="1052"/>
      <c r="L84" s="1052"/>
      <c r="M84" s="1052"/>
      <c r="N84" s="1052"/>
      <c r="O84" s="1052"/>
      <c r="P84" s="1052"/>
      <c r="Q84" s="1052"/>
      <c r="R84" s="1052"/>
      <c r="S84" s="1053"/>
    </row>
    <row r="85" spans="1:19" ht="15" customHeight="1" x14ac:dyDescent="0.25">
      <c r="A85" s="516"/>
      <c r="B85" s="536" t="s">
        <v>369</v>
      </c>
      <c r="C85" s="909"/>
      <c r="D85" s="871" t="s">
        <v>384</v>
      </c>
      <c r="E85" s="686">
        <v>117</v>
      </c>
      <c r="F85" s="936">
        <v>121</v>
      </c>
      <c r="G85" s="890">
        <f>AVERAGE(H85:S85)</f>
        <v>126.33333333333333</v>
      </c>
      <c r="H85" s="832">
        <v>125</v>
      </c>
      <c r="I85" s="844">
        <v>125</v>
      </c>
      <c r="J85" s="846">
        <v>126</v>
      </c>
      <c r="K85" s="561">
        <v>125</v>
      </c>
      <c r="L85" s="561">
        <v>128</v>
      </c>
      <c r="M85" s="561">
        <v>132</v>
      </c>
      <c r="N85" s="561">
        <v>128</v>
      </c>
      <c r="O85" s="561">
        <v>128</v>
      </c>
      <c r="P85" s="561">
        <v>127</v>
      </c>
      <c r="Q85" s="561">
        <v>127</v>
      </c>
      <c r="R85" s="561">
        <v>122</v>
      </c>
      <c r="S85" s="527">
        <v>123</v>
      </c>
    </row>
    <row r="86" spans="1:19" ht="15" customHeight="1" x14ac:dyDescent="0.25">
      <c r="A86" s="516"/>
      <c r="B86" s="762" t="s">
        <v>270</v>
      </c>
      <c r="C86" s="907"/>
      <c r="E86" s="728"/>
      <c r="F86" s="728"/>
      <c r="G86" s="728"/>
      <c r="H86" s="511">
        <v>5</v>
      </c>
      <c r="I86" s="531">
        <v>0</v>
      </c>
      <c r="J86" s="505">
        <v>1</v>
      </c>
      <c r="K86" s="505">
        <v>2</v>
      </c>
      <c r="L86" s="505">
        <v>5</v>
      </c>
      <c r="M86" s="505">
        <v>4</v>
      </c>
      <c r="N86" s="505">
        <v>1</v>
      </c>
      <c r="O86" s="505">
        <v>1</v>
      </c>
      <c r="P86" s="505">
        <v>2</v>
      </c>
      <c r="Q86" s="505">
        <v>0</v>
      </c>
      <c r="R86" s="505">
        <v>1</v>
      </c>
      <c r="S86" s="527">
        <v>1</v>
      </c>
    </row>
    <row r="87" spans="1:19" ht="15" customHeight="1" x14ac:dyDescent="0.25">
      <c r="A87" s="516"/>
      <c r="B87" s="761" t="s">
        <v>271</v>
      </c>
      <c r="C87" s="907"/>
      <c r="D87" s="877"/>
      <c r="E87" s="728"/>
      <c r="F87" s="728"/>
      <c r="G87" s="728"/>
      <c r="H87" s="511">
        <v>1</v>
      </c>
      <c r="I87" s="533">
        <v>1</v>
      </c>
      <c r="J87" s="533">
        <v>0</v>
      </c>
      <c r="K87" s="533">
        <v>3</v>
      </c>
      <c r="L87" s="533">
        <v>2</v>
      </c>
      <c r="M87" s="533">
        <v>0</v>
      </c>
      <c r="N87" s="533">
        <v>5</v>
      </c>
      <c r="O87" s="533">
        <v>1</v>
      </c>
      <c r="P87" s="533">
        <v>3</v>
      </c>
      <c r="Q87" s="533">
        <v>0</v>
      </c>
      <c r="R87" s="533">
        <v>6</v>
      </c>
      <c r="S87" s="527">
        <v>0</v>
      </c>
    </row>
    <row r="88" spans="1:19" s="655" customFormat="1" ht="15.95" customHeight="1" x14ac:dyDescent="0.25">
      <c r="A88" s="654"/>
      <c r="B88" s="1051" t="s">
        <v>52</v>
      </c>
      <c r="C88" s="1052"/>
      <c r="D88" s="1052"/>
      <c r="E88" s="1052"/>
      <c r="F88" s="1052"/>
      <c r="G88" s="1052"/>
      <c r="H88" s="1052"/>
      <c r="I88" s="1052"/>
      <c r="J88" s="1052"/>
      <c r="K88" s="1052"/>
      <c r="L88" s="1052"/>
      <c r="M88" s="1052"/>
      <c r="N88" s="1052"/>
      <c r="O88" s="1052"/>
      <c r="P88" s="1052"/>
      <c r="Q88" s="1052"/>
      <c r="R88" s="1052"/>
      <c r="S88" s="1053"/>
    </row>
    <row r="89" spans="1:19" ht="15" customHeight="1" x14ac:dyDescent="0.25">
      <c r="A89" s="516"/>
      <c r="B89" s="536" t="s">
        <v>316</v>
      </c>
      <c r="D89" s="875" t="s">
        <v>384</v>
      </c>
      <c r="E89" s="937">
        <v>122</v>
      </c>
      <c r="F89" s="935">
        <v>117</v>
      </c>
      <c r="G89" s="890">
        <f>AVERAGE(H89:S89)</f>
        <v>104.5</v>
      </c>
      <c r="H89" s="511">
        <v>110</v>
      </c>
      <c r="I89" s="845">
        <v>109</v>
      </c>
      <c r="J89" s="561">
        <v>104</v>
      </c>
      <c r="K89" s="561">
        <v>103</v>
      </c>
      <c r="L89" s="561">
        <v>102</v>
      </c>
      <c r="M89" s="561">
        <v>101</v>
      </c>
      <c r="N89" s="561">
        <v>101</v>
      </c>
      <c r="O89" s="561">
        <v>101</v>
      </c>
      <c r="P89" s="561">
        <v>103</v>
      </c>
      <c r="Q89" s="561">
        <v>106</v>
      </c>
      <c r="R89" s="561">
        <v>105</v>
      </c>
      <c r="S89" s="527">
        <v>109</v>
      </c>
    </row>
    <row r="90" spans="1:19" ht="15" hidden="1" customHeight="1" x14ac:dyDescent="0.25">
      <c r="A90" s="516"/>
      <c r="B90" s="762" t="s">
        <v>270</v>
      </c>
      <c r="C90" s="907"/>
      <c r="E90" s="726">
        <v>0</v>
      </c>
      <c r="F90" s="727">
        <v>0</v>
      </c>
      <c r="G90" s="890" t="e">
        <f>AVERAGE(H90:S90)</f>
        <v>#DIV/0!</v>
      </c>
      <c r="H90" s="511"/>
      <c r="I90" s="822"/>
      <c r="J90" s="561"/>
      <c r="K90" s="561"/>
      <c r="L90" s="561"/>
      <c r="M90" s="561"/>
      <c r="N90" s="561"/>
      <c r="O90" s="561"/>
      <c r="P90" s="561"/>
      <c r="Q90" s="561"/>
      <c r="R90" s="561"/>
      <c r="S90" s="527"/>
    </row>
    <row r="91" spans="1:19" ht="15" hidden="1" customHeight="1" x14ac:dyDescent="0.25">
      <c r="A91" s="516"/>
      <c r="B91" s="762" t="s">
        <v>271</v>
      </c>
      <c r="C91" s="907"/>
      <c r="E91" s="724">
        <v>0</v>
      </c>
      <c r="F91" s="725">
        <v>0</v>
      </c>
      <c r="G91" s="890" t="e">
        <f>AVERAGE(H91:S91)</f>
        <v>#DIV/0!</v>
      </c>
      <c r="H91" s="511"/>
      <c r="I91" s="561"/>
      <c r="J91" s="561"/>
      <c r="K91" s="561"/>
      <c r="L91" s="561"/>
      <c r="M91" s="561"/>
      <c r="N91" s="561"/>
      <c r="O91" s="561"/>
      <c r="P91" s="561"/>
      <c r="Q91" s="561"/>
      <c r="R91" s="561"/>
      <c r="S91" s="527"/>
    </row>
    <row r="92" spans="1:19" ht="15" customHeight="1" x14ac:dyDescent="0.25">
      <c r="A92" s="516"/>
      <c r="B92" s="534" t="s">
        <v>272</v>
      </c>
      <c r="E92" s="729">
        <v>0</v>
      </c>
      <c r="F92" s="732">
        <v>106142.25</v>
      </c>
      <c r="G92" s="732">
        <v>106142.25</v>
      </c>
      <c r="H92" s="822">
        <v>5746.25</v>
      </c>
      <c r="I92" s="970">
        <v>6265</v>
      </c>
      <c r="J92" s="971">
        <v>6269.25</v>
      </c>
      <c r="K92" s="971">
        <v>6260.5</v>
      </c>
      <c r="L92" s="972">
        <v>6358.75</v>
      </c>
      <c r="M92" s="822">
        <v>6183</v>
      </c>
      <c r="N92" s="822">
        <v>6369.25</v>
      </c>
      <c r="O92" s="964">
        <v>6000.5</v>
      </c>
      <c r="P92" s="1001">
        <v>7175.25</v>
      </c>
      <c r="Q92" s="964">
        <v>6740.25</v>
      </c>
      <c r="R92" s="822">
        <v>7429.5</v>
      </c>
      <c r="S92" s="1002">
        <v>7096.25</v>
      </c>
    </row>
    <row r="93" spans="1:19" ht="15" customHeight="1" x14ac:dyDescent="0.25">
      <c r="A93" s="516"/>
      <c r="B93" s="534" t="s">
        <v>317</v>
      </c>
      <c r="D93" s="875" t="s">
        <v>384</v>
      </c>
      <c r="E93" s="937">
        <v>188</v>
      </c>
      <c r="F93" s="890">
        <v>190</v>
      </c>
      <c r="G93" s="890">
        <f>AVERAGE(H93:S93)</f>
        <v>190</v>
      </c>
      <c r="H93" s="832">
        <v>190</v>
      </c>
      <c r="I93" s="847">
        <v>190</v>
      </c>
      <c r="J93" s="846">
        <v>190</v>
      </c>
      <c r="K93" s="561">
        <v>190</v>
      </c>
      <c r="L93" s="561">
        <v>190</v>
      </c>
      <c r="M93" s="561">
        <v>190</v>
      </c>
      <c r="N93" s="561">
        <v>190</v>
      </c>
      <c r="O93" s="561">
        <v>190</v>
      </c>
      <c r="P93" s="561">
        <v>190</v>
      </c>
      <c r="Q93" s="561">
        <v>190</v>
      </c>
      <c r="R93" s="561">
        <v>190</v>
      </c>
      <c r="S93" s="561">
        <v>190</v>
      </c>
    </row>
    <row r="94" spans="1:19" ht="15" customHeight="1" x14ac:dyDescent="0.25">
      <c r="A94" s="516"/>
      <c r="B94" s="762" t="s">
        <v>270</v>
      </c>
      <c r="C94" s="907"/>
      <c r="E94" s="726">
        <v>0</v>
      </c>
      <c r="F94" s="727">
        <v>19</v>
      </c>
      <c r="G94" s="728">
        <f>AVERAGE(H94:S94)</f>
        <v>1</v>
      </c>
      <c r="H94" s="511">
        <v>0</v>
      </c>
      <c r="I94" s="561">
        <v>0</v>
      </c>
      <c r="J94" s="561">
        <v>0</v>
      </c>
      <c r="K94" s="561">
        <v>0</v>
      </c>
      <c r="L94" s="561">
        <v>0</v>
      </c>
      <c r="M94" s="561">
        <v>0</v>
      </c>
      <c r="N94" s="561">
        <v>1</v>
      </c>
      <c r="O94" s="561">
        <v>0</v>
      </c>
      <c r="P94" s="561">
        <v>4</v>
      </c>
      <c r="Q94" s="561">
        <v>3</v>
      </c>
      <c r="R94" s="561">
        <v>0</v>
      </c>
      <c r="S94" s="527">
        <v>4</v>
      </c>
    </row>
    <row r="95" spans="1:19" ht="15" customHeight="1" x14ac:dyDescent="0.25">
      <c r="A95" s="516"/>
      <c r="B95" s="761" t="s">
        <v>271</v>
      </c>
      <c r="C95" s="907"/>
      <c r="E95" s="729">
        <v>0</v>
      </c>
      <c r="F95" s="732">
        <v>11</v>
      </c>
      <c r="G95" s="730">
        <f>AVERAGE(H95:S95)</f>
        <v>1.1666666666666667</v>
      </c>
      <c r="H95" s="511">
        <v>1</v>
      </c>
      <c r="I95" s="561">
        <v>1</v>
      </c>
      <c r="J95" s="561">
        <v>5</v>
      </c>
      <c r="K95" s="561">
        <v>1</v>
      </c>
      <c r="L95" s="561">
        <v>1</v>
      </c>
      <c r="M95" s="561">
        <v>1</v>
      </c>
      <c r="N95" s="561">
        <v>1</v>
      </c>
      <c r="O95" s="561">
        <v>0</v>
      </c>
      <c r="P95" s="561">
        <v>2</v>
      </c>
      <c r="Q95" s="561">
        <v>0</v>
      </c>
      <c r="R95" s="561">
        <v>1</v>
      </c>
      <c r="S95" s="527">
        <v>0</v>
      </c>
    </row>
    <row r="96" spans="1:19" s="750" customFormat="1" ht="15" hidden="1" customHeight="1" x14ac:dyDescent="0.25">
      <c r="A96" s="746"/>
      <c r="B96" s="522" t="s">
        <v>32</v>
      </c>
      <c r="D96" s="875"/>
      <c r="E96" s="792"/>
      <c r="F96" s="793"/>
      <c r="G96" s="794"/>
      <c r="H96" s="795">
        <v>1</v>
      </c>
      <c r="I96" s="796">
        <v>0</v>
      </c>
      <c r="J96" s="797"/>
      <c r="K96" s="796"/>
      <c r="L96" s="796"/>
      <c r="M96" s="978"/>
      <c r="N96" s="796"/>
      <c r="O96" s="796"/>
      <c r="P96" s="796"/>
      <c r="Q96" s="796"/>
      <c r="R96" s="796"/>
      <c r="S96" s="798"/>
    </row>
    <row r="97" spans="1:19" s="750" customFormat="1" ht="15" hidden="1" customHeight="1" x14ac:dyDescent="0.25">
      <c r="A97" s="746"/>
      <c r="B97" s="514" t="s">
        <v>33</v>
      </c>
      <c r="D97" s="875"/>
      <c r="E97" s="792"/>
      <c r="F97" s="793"/>
      <c r="G97" s="794"/>
      <c r="H97" s="799">
        <v>-2</v>
      </c>
      <c r="I97" s="800">
        <v>-1</v>
      </c>
      <c r="J97" s="801"/>
      <c r="K97" s="800"/>
      <c r="L97" s="800"/>
      <c r="M97" s="979"/>
      <c r="N97" s="800"/>
      <c r="O97" s="800"/>
      <c r="P97" s="800"/>
      <c r="Q97" s="800"/>
      <c r="R97" s="800"/>
      <c r="S97" s="802"/>
    </row>
    <row r="98" spans="1:19" s="655" customFormat="1" ht="15.95" customHeight="1" x14ac:dyDescent="0.25">
      <c r="A98" s="654"/>
      <c r="B98" s="1079" t="s">
        <v>383</v>
      </c>
      <c r="C98" s="1080"/>
      <c r="D98" s="1080"/>
      <c r="E98" s="1080"/>
      <c r="F98" s="1080"/>
      <c r="G98" s="1080"/>
      <c r="H98" s="1080"/>
      <c r="I98" s="1082"/>
      <c r="J98" s="1080"/>
      <c r="K98" s="1080"/>
      <c r="L98" s="1080"/>
      <c r="M98" s="1080"/>
      <c r="N98" s="1080"/>
      <c r="O98" s="1080"/>
      <c r="P98" s="1080"/>
      <c r="Q98" s="1080"/>
      <c r="R98" s="1080"/>
      <c r="S98" s="1081"/>
    </row>
    <row r="99" spans="1:19" ht="32.1" customHeight="1" x14ac:dyDescent="0.25">
      <c r="A99" s="516"/>
      <c r="B99" s="563" t="s">
        <v>318</v>
      </c>
      <c r="C99" s="912"/>
      <c r="D99" s="879"/>
      <c r="E99" s="697">
        <v>1892</v>
      </c>
      <c r="F99" s="529">
        <v>2331</v>
      </c>
      <c r="G99" s="1003">
        <f>SUM(H99:S99)</f>
        <v>2932</v>
      </c>
      <c r="H99" s="822">
        <v>270</v>
      </c>
      <c r="I99" s="822">
        <v>269</v>
      </c>
      <c r="J99" s="629">
        <v>254</v>
      </c>
      <c r="K99" s="561">
        <v>244</v>
      </c>
      <c r="L99" s="561">
        <v>245</v>
      </c>
      <c r="M99" s="822">
        <v>239</v>
      </c>
      <c r="N99" s="512">
        <v>246</v>
      </c>
      <c r="O99" s="561">
        <v>238</v>
      </c>
      <c r="P99" s="964">
        <v>236</v>
      </c>
      <c r="Q99" s="512">
        <v>232</v>
      </c>
      <c r="R99" s="822">
        <v>231</v>
      </c>
      <c r="S99" s="1002">
        <v>228</v>
      </c>
    </row>
    <row r="100" spans="1:19" ht="15" customHeight="1" x14ac:dyDescent="0.25">
      <c r="A100" s="516"/>
      <c r="B100" s="522" t="s">
        <v>319</v>
      </c>
      <c r="C100" s="903"/>
      <c r="D100" s="872"/>
      <c r="E100" s="672">
        <v>2033</v>
      </c>
      <c r="F100" s="530">
        <v>2125</v>
      </c>
      <c r="G100" s="1003">
        <f>SUM(H100:S100)</f>
        <v>2333</v>
      </c>
      <c r="H100" s="822">
        <v>184</v>
      </c>
      <c r="I100" s="822">
        <v>182</v>
      </c>
      <c r="J100" s="964">
        <v>176</v>
      </c>
      <c r="K100" s="964">
        <v>178</v>
      </c>
      <c r="L100" s="822">
        <v>204</v>
      </c>
      <c r="M100" s="822">
        <v>214</v>
      </c>
      <c r="N100" s="807">
        <v>205</v>
      </c>
      <c r="O100" s="807">
        <v>207</v>
      </c>
      <c r="P100" s="964">
        <v>200</v>
      </c>
      <c r="Q100" s="520">
        <v>196</v>
      </c>
      <c r="R100" s="822">
        <v>196</v>
      </c>
      <c r="S100" s="532">
        <v>191</v>
      </c>
    </row>
    <row r="101" spans="1:19" ht="15" customHeight="1" x14ac:dyDescent="0.25">
      <c r="A101" s="516"/>
      <c r="B101" s="522" t="s">
        <v>320</v>
      </c>
      <c r="C101" s="750"/>
      <c r="E101" s="726">
        <v>0</v>
      </c>
      <c r="F101" s="727">
        <v>2487</v>
      </c>
      <c r="G101" s="733">
        <f>SUM(H101:S101)</f>
        <v>3259</v>
      </c>
      <c r="H101" s="822">
        <v>211</v>
      </c>
      <c r="I101" s="822">
        <v>256</v>
      </c>
      <c r="J101" s="964">
        <v>276</v>
      </c>
      <c r="K101" s="520">
        <v>243</v>
      </c>
      <c r="L101" s="807">
        <v>211</v>
      </c>
      <c r="M101" s="822">
        <v>231</v>
      </c>
      <c r="N101" s="520">
        <v>252</v>
      </c>
      <c r="O101" s="807">
        <v>271</v>
      </c>
      <c r="P101" s="964">
        <v>303</v>
      </c>
      <c r="Q101" s="520">
        <v>320</v>
      </c>
      <c r="R101" s="822">
        <v>345</v>
      </c>
      <c r="S101" s="1002">
        <v>340</v>
      </c>
    </row>
    <row r="102" spans="1:19" ht="15" hidden="1" customHeight="1" x14ac:dyDescent="0.25">
      <c r="A102" s="516"/>
      <c r="B102" s="803" t="s">
        <v>32</v>
      </c>
      <c r="C102" s="913"/>
      <c r="E102" s="804"/>
      <c r="F102" s="805"/>
      <c r="G102" s="806"/>
      <c r="H102" s="519">
        <v>13</v>
      </c>
      <c r="I102" s="512"/>
      <c r="J102" s="520"/>
      <c r="K102" s="520"/>
      <c r="L102" s="520"/>
      <c r="M102" s="975"/>
      <c r="N102" s="520"/>
      <c r="O102" s="520"/>
      <c r="P102" s="520"/>
      <c r="Q102" s="520"/>
      <c r="R102" s="807"/>
      <c r="S102" s="532"/>
    </row>
    <row r="103" spans="1:19" ht="15" hidden="1" customHeight="1" x14ac:dyDescent="0.25">
      <c r="A103" s="516"/>
      <c r="B103" s="808" t="s">
        <v>33</v>
      </c>
      <c r="C103" s="913"/>
      <c r="E103" s="809"/>
      <c r="F103" s="810"/>
      <c r="G103" s="811"/>
      <c r="H103" s="524">
        <v>-208</v>
      </c>
      <c r="I103" s="525"/>
      <c r="J103" s="525"/>
      <c r="K103" s="525"/>
      <c r="L103" s="525"/>
      <c r="M103" s="551"/>
      <c r="N103" s="525"/>
      <c r="O103" s="525"/>
      <c r="P103" s="525"/>
      <c r="Q103" s="525"/>
      <c r="R103" s="812"/>
      <c r="S103" s="560"/>
    </row>
    <row r="104" spans="1:19" ht="15" hidden="1" customHeight="1" x14ac:dyDescent="0.25">
      <c r="A104" s="516"/>
      <c r="B104" s="1073" t="s">
        <v>163</v>
      </c>
      <c r="C104" s="1074"/>
      <c r="D104" s="1074"/>
      <c r="E104" s="1074"/>
      <c r="F104" s="1074"/>
      <c r="G104" s="1074"/>
      <c r="H104" s="1074"/>
      <c r="I104" s="1074"/>
      <c r="J104" s="1074"/>
      <c r="K104" s="1074"/>
      <c r="L104" s="1074"/>
      <c r="M104" s="1074"/>
      <c r="N104" s="1074"/>
      <c r="O104" s="1074"/>
      <c r="P104" s="1074"/>
      <c r="Q104" s="1074"/>
      <c r="R104" s="1074"/>
      <c r="S104" s="1075"/>
    </row>
    <row r="105" spans="1:19" ht="15" hidden="1" customHeight="1" x14ac:dyDescent="0.25">
      <c r="A105" s="516"/>
      <c r="B105" s="813" t="s">
        <v>164</v>
      </c>
      <c r="C105" s="750"/>
      <c r="E105" s="804"/>
      <c r="F105" s="805"/>
      <c r="G105" s="814">
        <v>17</v>
      </c>
      <c r="H105" s="629">
        <v>17</v>
      </c>
      <c r="I105" s="512"/>
      <c r="J105" s="512"/>
      <c r="K105" s="512"/>
      <c r="L105" s="512"/>
      <c r="M105" s="850"/>
      <c r="N105" s="512"/>
      <c r="O105" s="512"/>
      <c r="P105" s="512"/>
      <c r="Q105" s="512"/>
      <c r="R105" s="561"/>
      <c r="S105" s="532"/>
    </row>
    <row r="106" spans="1:19" ht="15" hidden="1" customHeight="1" x14ac:dyDescent="0.25">
      <c r="A106" s="516"/>
      <c r="B106" s="815" t="s">
        <v>165</v>
      </c>
      <c r="C106" s="914"/>
      <c r="D106" s="880"/>
      <c r="E106" s="809"/>
      <c r="F106" s="810"/>
      <c r="G106" s="816">
        <v>23</v>
      </c>
      <c r="H106" s="817">
        <v>23</v>
      </c>
      <c r="I106" s="818"/>
      <c r="J106" s="818"/>
      <c r="K106" s="818"/>
      <c r="L106" s="818"/>
      <c r="M106" s="980"/>
      <c r="N106" s="818"/>
      <c r="O106" s="818"/>
      <c r="P106" s="818"/>
      <c r="Q106" s="818"/>
      <c r="R106" s="819"/>
      <c r="S106" s="820"/>
    </row>
    <row r="107" spans="1:19" s="655" customFormat="1" ht="12" customHeight="1" x14ac:dyDescent="0.25">
      <c r="A107" s="654"/>
      <c r="B107" s="1051" t="s">
        <v>59</v>
      </c>
      <c r="C107" s="1052"/>
      <c r="D107" s="1052"/>
      <c r="E107" s="1052"/>
      <c r="F107" s="1052"/>
      <c r="G107" s="1052"/>
      <c r="H107" s="1052"/>
      <c r="I107" s="1052"/>
      <c r="J107" s="1052"/>
      <c r="K107" s="1052"/>
      <c r="L107" s="1052"/>
      <c r="M107" s="1052"/>
      <c r="N107" s="1052"/>
      <c r="O107" s="1052"/>
      <c r="P107" s="1052"/>
      <c r="Q107" s="1052"/>
      <c r="R107" s="1052"/>
      <c r="S107" s="1053"/>
    </row>
    <row r="108" spans="1:19" s="750" customFormat="1" ht="24" customHeight="1" x14ac:dyDescent="0.25">
      <c r="A108" s="746"/>
      <c r="B108" s="509" t="s">
        <v>321</v>
      </c>
      <c r="C108" s="902"/>
      <c r="D108" s="871"/>
      <c r="E108" s="706">
        <v>2025</v>
      </c>
      <c r="F108" s="707">
        <v>2175</v>
      </c>
      <c r="G108" s="510">
        <f t="shared" ref="G108:G116" si="4">SUM(H108:S108)</f>
        <v>3416</v>
      </c>
      <c r="H108" s="747">
        <v>195</v>
      </c>
      <c r="I108" s="748">
        <v>269</v>
      </c>
      <c r="J108" s="748">
        <v>306</v>
      </c>
      <c r="K108" s="748">
        <v>325</v>
      </c>
      <c r="L108" s="748">
        <v>327</v>
      </c>
      <c r="M108" s="846">
        <v>310</v>
      </c>
      <c r="N108" s="748">
        <v>466</v>
      </c>
      <c r="O108" s="748">
        <v>389</v>
      </c>
      <c r="P108" s="748">
        <v>316</v>
      </c>
      <c r="Q108" s="748">
        <v>170</v>
      </c>
      <c r="R108" s="748">
        <v>174</v>
      </c>
      <c r="S108" s="749">
        <v>169</v>
      </c>
    </row>
    <row r="109" spans="1:19" s="750" customFormat="1" ht="24" customHeight="1" x14ac:dyDescent="0.25">
      <c r="A109" s="746"/>
      <c r="B109" s="762" t="s">
        <v>322</v>
      </c>
      <c r="C109" s="910"/>
      <c r="D109" s="873"/>
      <c r="E109" s="706">
        <v>1490</v>
      </c>
      <c r="F109" s="707">
        <v>1583</v>
      </c>
      <c r="G109" s="523">
        <f t="shared" si="4"/>
        <v>2831</v>
      </c>
      <c r="H109" s="747">
        <v>134</v>
      </c>
      <c r="I109" s="748">
        <v>229</v>
      </c>
      <c r="J109" s="748">
        <v>243</v>
      </c>
      <c r="K109" s="748">
        <v>276</v>
      </c>
      <c r="L109" s="748">
        <v>280</v>
      </c>
      <c r="M109" s="846">
        <v>266</v>
      </c>
      <c r="N109" s="748">
        <v>395</v>
      </c>
      <c r="O109" s="748">
        <v>349</v>
      </c>
      <c r="P109" s="748">
        <v>269</v>
      </c>
      <c r="Q109" s="748">
        <v>128</v>
      </c>
      <c r="R109" s="748">
        <v>135</v>
      </c>
      <c r="S109" s="749">
        <v>127</v>
      </c>
    </row>
    <row r="110" spans="1:19" s="750" customFormat="1" ht="24" customHeight="1" x14ac:dyDescent="0.25">
      <c r="A110" s="746"/>
      <c r="B110" s="762" t="s">
        <v>323</v>
      </c>
      <c r="C110" s="910"/>
      <c r="D110" s="873"/>
      <c r="E110" s="706">
        <v>24</v>
      </c>
      <c r="F110" s="707">
        <v>26</v>
      </c>
      <c r="G110" s="523">
        <f t="shared" si="4"/>
        <v>24</v>
      </c>
      <c r="H110" s="747">
        <v>1</v>
      </c>
      <c r="I110" s="748">
        <v>1</v>
      </c>
      <c r="J110" s="748">
        <v>5</v>
      </c>
      <c r="K110" s="748">
        <v>3</v>
      </c>
      <c r="L110" s="748">
        <v>1</v>
      </c>
      <c r="M110" s="846">
        <v>2</v>
      </c>
      <c r="N110" s="748">
        <v>0</v>
      </c>
      <c r="O110" s="748">
        <v>1</v>
      </c>
      <c r="P110" s="748">
        <v>3</v>
      </c>
      <c r="Q110" s="748">
        <v>4</v>
      </c>
      <c r="R110" s="748">
        <v>3</v>
      </c>
      <c r="S110" s="749">
        <v>0</v>
      </c>
    </row>
    <row r="111" spans="1:19" s="750" customFormat="1" ht="24" customHeight="1" x14ac:dyDescent="0.25">
      <c r="A111" s="746"/>
      <c r="B111" s="762" t="s">
        <v>324</v>
      </c>
      <c r="C111" s="910"/>
      <c r="D111" s="873"/>
      <c r="E111" s="706">
        <v>5</v>
      </c>
      <c r="F111" s="707">
        <v>7</v>
      </c>
      <c r="G111" s="523">
        <f t="shared" si="4"/>
        <v>7</v>
      </c>
      <c r="H111" s="947">
        <v>0</v>
      </c>
      <c r="I111" s="748">
        <v>0</v>
      </c>
      <c r="J111" s="748">
        <v>2</v>
      </c>
      <c r="K111" s="748">
        <v>4</v>
      </c>
      <c r="L111" s="748">
        <v>0</v>
      </c>
      <c r="M111" s="846">
        <v>0</v>
      </c>
      <c r="N111" s="748">
        <v>0</v>
      </c>
      <c r="O111" s="748">
        <v>0</v>
      </c>
      <c r="P111" s="748">
        <v>0</v>
      </c>
      <c r="Q111" s="748">
        <v>0</v>
      </c>
      <c r="R111" s="748">
        <v>0</v>
      </c>
      <c r="S111" s="749">
        <v>1</v>
      </c>
    </row>
    <row r="112" spans="1:19" s="750" customFormat="1" ht="24" customHeight="1" x14ac:dyDescent="0.25">
      <c r="A112" s="746"/>
      <c r="B112" s="762" t="s">
        <v>325</v>
      </c>
      <c r="C112" s="910"/>
      <c r="D112" s="873"/>
      <c r="E112" s="706">
        <v>266</v>
      </c>
      <c r="F112" s="707">
        <v>307</v>
      </c>
      <c r="G112" s="523">
        <f t="shared" si="4"/>
        <v>286</v>
      </c>
      <c r="H112" s="747">
        <v>35</v>
      </c>
      <c r="I112" s="748">
        <v>15</v>
      </c>
      <c r="J112" s="748">
        <v>28</v>
      </c>
      <c r="K112" s="748">
        <v>23</v>
      </c>
      <c r="L112" s="748">
        <v>21</v>
      </c>
      <c r="M112" s="846">
        <v>26</v>
      </c>
      <c r="N112" s="748">
        <v>25</v>
      </c>
      <c r="O112" s="748">
        <v>21</v>
      </c>
      <c r="P112" s="748">
        <v>22</v>
      </c>
      <c r="Q112" s="748">
        <v>29</v>
      </c>
      <c r="R112" s="748">
        <v>16</v>
      </c>
      <c r="S112" s="749">
        <v>25</v>
      </c>
    </row>
    <row r="113" spans="1:19" s="750" customFormat="1" ht="24" customHeight="1" x14ac:dyDescent="0.25">
      <c r="A113" s="746"/>
      <c r="B113" s="762" t="s">
        <v>326</v>
      </c>
      <c r="C113" s="910"/>
      <c r="D113" s="873"/>
      <c r="E113" s="706">
        <v>39</v>
      </c>
      <c r="F113" s="707">
        <v>41</v>
      </c>
      <c r="G113" s="523">
        <f t="shared" si="4"/>
        <v>118</v>
      </c>
      <c r="H113" s="747">
        <v>1</v>
      </c>
      <c r="I113" s="748">
        <v>7</v>
      </c>
      <c r="J113" s="748">
        <v>19</v>
      </c>
      <c r="K113" s="748">
        <v>13</v>
      </c>
      <c r="L113" s="748">
        <v>17</v>
      </c>
      <c r="M113" s="846">
        <v>8</v>
      </c>
      <c r="N113" s="748">
        <v>19</v>
      </c>
      <c r="O113" s="748">
        <v>14</v>
      </c>
      <c r="P113" s="748">
        <v>16</v>
      </c>
      <c r="Q113" s="748">
        <v>3</v>
      </c>
      <c r="R113" s="748">
        <v>1</v>
      </c>
      <c r="S113" s="749">
        <v>0</v>
      </c>
    </row>
    <row r="114" spans="1:19" s="750" customFormat="1" ht="24" customHeight="1" x14ac:dyDescent="0.25">
      <c r="A114" s="746"/>
      <c r="B114" s="762" t="s">
        <v>327</v>
      </c>
      <c r="C114" s="910"/>
      <c r="D114" s="873"/>
      <c r="E114" s="706">
        <v>34</v>
      </c>
      <c r="F114" s="707">
        <v>37</v>
      </c>
      <c r="G114" s="523">
        <f t="shared" si="4"/>
        <v>50</v>
      </c>
      <c r="H114" s="747">
        <v>2</v>
      </c>
      <c r="I114" s="748">
        <v>5</v>
      </c>
      <c r="J114" s="748">
        <v>3</v>
      </c>
      <c r="K114" s="748">
        <v>1</v>
      </c>
      <c r="L114" s="748">
        <v>3</v>
      </c>
      <c r="M114" s="846">
        <v>0</v>
      </c>
      <c r="N114" s="748">
        <v>10</v>
      </c>
      <c r="O114" s="748">
        <v>3</v>
      </c>
      <c r="P114" s="748">
        <v>2</v>
      </c>
      <c r="Q114" s="748">
        <v>4</v>
      </c>
      <c r="R114" s="748">
        <v>7</v>
      </c>
      <c r="S114" s="749">
        <v>10</v>
      </c>
    </row>
    <row r="115" spans="1:19" s="750" customFormat="1" ht="24" customHeight="1" x14ac:dyDescent="0.25">
      <c r="A115" s="746"/>
      <c r="B115" s="760" t="s">
        <v>328</v>
      </c>
      <c r="C115" s="905"/>
      <c r="D115" s="874"/>
      <c r="E115" s="706">
        <v>130</v>
      </c>
      <c r="F115" s="707">
        <v>133</v>
      </c>
      <c r="G115" s="523">
        <f t="shared" si="4"/>
        <v>95</v>
      </c>
      <c r="H115" s="747">
        <v>18</v>
      </c>
      <c r="I115" s="748">
        <v>11</v>
      </c>
      <c r="J115" s="748">
        <v>6</v>
      </c>
      <c r="K115" s="748">
        <v>5</v>
      </c>
      <c r="L115" s="748">
        <v>5</v>
      </c>
      <c r="M115" s="846">
        <v>8</v>
      </c>
      <c r="N115" s="748">
        <v>17</v>
      </c>
      <c r="O115" s="748">
        <v>1</v>
      </c>
      <c r="P115" s="748">
        <v>4</v>
      </c>
      <c r="Q115" s="748">
        <v>2</v>
      </c>
      <c r="R115" s="748">
        <v>12</v>
      </c>
      <c r="S115" s="749">
        <v>6</v>
      </c>
    </row>
    <row r="116" spans="1:19" s="750" customFormat="1" ht="24" customHeight="1" x14ac:dyDescent="0.25">
      <c r="A116" s="746"/>
      <c r="B116" s="759" t="s">
        <v>329</v>
      </c>
      <c r="C116" s="915"/>
      <c r="D116" s="881"/>
      <c r="E116" s="706">
        <v>37</v>
      </c>
      <c r="F116" s="707">
        <v>41</v>
      </c>
      <c r="G116" s="542">
        <f t="shared" si="4"/>
        <v>5</v>
      </c>
      <c r="H116" s="747">
        <v>4</v>
      </c>
      <c r="I116" s="748">
        <v>1</v>
      </c>
      <c r="J116" s="748">
        <v>0</v>
      </c>
      <c r="K116" s="748">
        <v>0</v>
      </c>
      <c r="L116" s="748">
        <v>0</v>
      </c>
      <c r="M116" s="846">
        <v>0</v>
      </c>
      <c r="N116" s="748">
        <v>0</v>
      </c>
      <c r="O116" s="748">
        <v>0</v>
      </c>
      <c r="P116" s="748">
        <v>0</v>
      </c>
      <c r="Q116" s="748">
        <v>0</v>
      </c>
      <c r="R116" s="748">
        <v>0</v>
      </c>
      <c r="S116" s="749">
        <v>0</v>
      </c>
    </row>
    <row r="117" spans="1:19" s="655" customFormat="1" ht="15.95" customHeight="1" x14ac:dyDescent="0.25">
      <c r="A117" s="654"/>
      <c r="B117" s="1054" t="s">
        <v>265</v>
      </c>
      <c r="C117" s="1055"/>
      <c r="D117" s="1055"/>
      <c r="E117" s="1055"/>
      <c r="F117" s="1055"/>
      <c r="G117" s="1055"/>
      <c r="H117" s="1055"/>
      <c r="I117" s="1055"/>
      <c r="J117" s="1055"/>
      <c r="K117" s="1055"/>
      <c r="L117" s="1055"/>
      <c r="M117" s="1055"/>
      <c r="N117" s="1055"/>
      <c r="O117" s="1055"/>
      <c r="P117" s="1055"/>
      <c r="Q117" s="1055"/>
      <c r="R117" s="1055"/>
      <c r="S117" s="1056"/>
    </row>
    <row r="118" spans="1:19" s="655" customFormat="1" ht="15.95" customHeight="1" x14ac:dyDescent="0.25">
      <c r="A118" s="654"/>
      <c r="B118" s="1057" t="s">
        <v>73</v>
      </c>
      <c r="C118" s="1058"/>
      <c r="D118" s="1058"/>
      <c r="E118" s="1058"/>
      <c r="F118" s="1058"/>
      <c r="G118" s="1058"/>
      <c r="H118" s="1058"/>
      <c r="I118" s="1058"/>
      <c r="J118" s="1058"/>
      <c r="K118" s="1058"/>
      <c r="L118" s="1058"/>
      <c r="M118" s="1058"/>
      <c r="N118" s="1058"/>
      <c r="O118" s="1058"/>
      <c r="P118" s="1058"/>
      <c r="Q118" s="1058"/>
      <c r="R118" s="1058"/>
      <c r="S118" s="1059"/>
    </row>
    <row r="119" spans="1:19" ht="15" customHeight="1" x14ac:dyDescent="0.25">
      <c r="A119" s="516"/>
      <c r="B119" s="522" t="s">
        <v>330</v>
      </c>
      <c r="C119" s="750"/>
      <c r="D119" s="921" t="s">
        <v>384</v>
      </c>
      <c r="E119" s="959">
        <v>120.41666666666667</v>
      </c>
      <c r="F119" s="959">
        <v>102</v>
      </c>
      <c r="G119" s="715">
        <f>AVERAGE(H119:S119)</f>
        <v>99.333333333333329</v>
      </c>
      <c r="H119" s="564">
        <v>98</v>
      </c>
      <c r="I119" s="835">
        <v>103</v>
      </c>
      <c r="J119" s="565">
        <v>101</v>
      </c>
      <c r="K119" s="565">
        <v>99</v>
      </c>
      <c r="L119" s="565">
        <v>98</v>
      </c>
      <c r="M119" s="508">
        <v>98</v>
      </c>
      <c r="N119" s="565">
        <v>102</v>
      </c>
      <c r="O119" s="565">
        <v>99</v>
      </c>
      <c r="P119" s="565">
        <v>96</v>
      </c>
      <c r="Q119" s="565">
        <v>96</v>
      </c>
      <c r="R119" s="565">
        <v>101</v>
      </c>
      <c r="S119" s="567">
        <v>101</v>
      </c>
    </row>
    <row r="120" spans="1:19" ht="15" customHeight="1" x14ac:dyDescent="0.25">
      <c r="A120" s="516"/>
      <c r="B120" s="522" t="s">
        <v>331</v>
      </c>
      <c r="C120" s="750"/>
      <c r="D120" s="921" t="s">
        <v>384</v>
      </c>
      <c r="E120" s="945">
        <v>33.75</v>
      </c>
      <c r="F120" s="959">
        <v>12</v>
      </c>
      <c r="G120" s="715">
        <f>AVERAGE(H120:S120)</f>
        <v>15.333333333333334</v>
      </c>
      <c r="H120" s="564">
        <v>22</v>
      </c>
      <c r="I120" s="564">
        <v>22</v>
      </c>
      <c r="J120" s="565">
        <v>17</v>
      </c>
      <c r="K120" s="565">
        <v>13</v>
      </c>
      <c r="L120" s="565">
        <v>14</v>
      </c>
      <c r="M120" s="508">
        <v>14</v>
      </c>
      <c r="N120" s="565">
        <v>15</v>
      </c>
      <c r="O120" s="565">
        <v>13</v>
      </c>
      <c r="P120" s="565">
        <v>13</v>
      </c>
      <c r="Q120" s="565">
        <v>10</v>
      </c>
      <c r="R120" s="565">
        <v>16</v>
      </c>
      <c r="S120" s="567">
        <v>15</v>
      </c>
    </row>
    <row r="121" spans="1:19" ht="33" customHeight="1" x14ac:dyDescent="0.3">
      <c r="A121" s="516"/>
      <c r="B121" s="534" t="s">
        <v>332</v>
      </c>
      <c r="D121" s="921" t="s">
        <v>384</v>
      </c>
      <c r="E121" s="945">
        <v>1330.2857142857142</v>
      </c>
      <c r="F121" s="959">
        <v>103.16666666666667</v>
      </c>
      <c r="G121" s="715" t="e">
        <f>AVERAGE(H121:S121)</f>
        <v>#DIV/0!</v>
      </c>
      <c r="H121" s="1004" t="s">
        <v>429</v>
      </c>
      <c r="I121" s="1004" t="s">
        <v>429</v>
      </c>
      <c r="J121" s="1004" t="s">
        <v>429</v>
      </c>
      <c r="K121" s="1004" t="s">
        <v>429</v>
      </c>
      <c r="L121" s="1004" t="s">
        <v>429</v>
      </c>
      <c r="M121" s="1004" t="s">
        <v>429</v>
      </c>
      <c r="N121" s="1004" t="s">
        <v>429</v>
      </c>
      <c r="O121" s="1004" t="s">
        <v>429</v>
      </c>
      <c r="P121" s="1004" t="s">
        <v>429</v>
      </c>
      <c r="Q121" s="1004" t="s">
        <v>429</v>
      </c>
      <c r="R121" s="1004" t="s">
        <v>429</v>
      </c>
      <c r="S121" s="1004" t="s">
        <v>429</v>
      </c>
    </row>
    <row r="122" spans="1:19" ht="1.5" hidden="1" customHeight="1" x14ac:dyDescent="0.25">
      <c r="A122" s="516"/>
      <c r="B122" s="762" t="s">
        <v>270</v>
      </c>
      <c r="C122" s="907"/>
      <c r="E122" s="734">
        <v>0</v>
      </c>
      <c r="F122" s="735">
        <v>403</v>
      </c>
      <c r="G122" s="715">
        <f>AVERAGEIF(H122:S122,"&lt;&gt;0")</f>
        <v>74.400000000000006</v>
      </c>
      <c r="H122" s="564">
        <v>130</v>
      </c>
      <c r="I122" s="835" t="s">
        <v>144</v>
      </c>
      <c r="J122" s="565">
        <v>73</v>
      </c>
      <c r="K122" s="565">
        <v>90</v>
      </c>
      <c r="L122" s="565">
        <v>30</v>
      </c>
      <c r="M122" s="981">
        <v>49</v>
      </c>
      <c r="N122" s="565">
        <v>0</v>
      </c>
      <c r="O122" s="565">
        <v>0</v>
      </c>
      <c r="P122" s="565">
        <v>0</v>
      </c>
      <c r="Q122" s="565">
        <v>0</v>
      </c>
      <c r="R122" s="565">
        <v>0</v>
      </c>
      <c r="S122" s="567">
        <v>0</v>
      </c>
    </row>
    <row r="123" spans="1:19" ht="2.25" hidden="1" customHeight="1" x14ac:dyDescent="0.25">
      <c r="A123" s="516"/>
      <c r="B123" s="761" t="s">
        <v>271</v>
      </c>
      <c r="C123" s="907"/>
      <c r="E123" s="734">
        <v>0</v>
      </c>
      <c r="F123" s="735">
        <v>2006</v>
      </c>
      <c r="G123" s="716">
        <f>SUM(H123:S123)</f>
        <v>0</v>
      </c>
      <c r="H123" s="564">
        <v>0</v>
      </c>
      <c r="I123" s="836" t="s">
        <v>144</v>
      </c>
      <c r="J123" s="568" t="s">
        <v>144</v>
      </c>
      <c r="K123" s="568" t="s">
        <v>144</v>
      </c>
      <c r="L123" s="568" t="s">
        <v>144</v>
      </c>
      <c r="M123" s="982" t="s">
        <v>144</v>
      </c>
      <c r="N123" s="568">
        <v>0</v>
      </c>
      <c r="O123" s="568">
        <v>0</v>
      </c>
      <c r="P123" s="568">
        <v>0</v>
      </c>
      <c r="Q123" s="568">
        <v>0</v>
      </c>
      <c r="R123" s="568">
        <v>0</v>
      </c>
      <c r="S123" s="567">
        <v>0</v>
      </c>
    </row>
    <row r="124" spans="1:19" s="655" customFormat="1" ht="15.95" customHeight="1" x14ac:dyDescent="0.25">
      <c r="A124" s="654"/>
      <c r="B124" s="1060" t="s">
        <v>336</v>
      </c>
      <c r="C124" s="1061"/>
      <c r="D124" s="1061"/>
      <c r="E124" s="1061"/>
      <c r="F124" s="1061"/>
      <c r="G124" s="1061"/>
      <c r="H124" s="1061"/>
      <c r="I124" s="1061"/>
      <c r="J124" s="1061"/>
      <c r="K124" s="1061"/>
      <c r="L124" s="1061"/>
      <c r="M124" s="1061"/>
      <c r="N124" s="1061"/>
      <c r="O124" s="1061"/>
      <c r="P124" s="1061"/>
      <c r="Q124" s="1061"/>
      <c r="R124" s="1061"/>
      <c r="S124" s="1062"/>
    </row>
    <row r="125" spans="1:19" ht="15" customHeight="1" x14ac:dyDescent="0.25">
      <c r="A125" s="516"/>
      <c r="B125" s="536" t="s">
        <v>390</v>
      </c>
      <c r="E125" s="736">
        <v>0</v>
      </c>
      <c r="F125" s="737">
        <v>222633</v>
      </c>
      <c r="G125" s="738">
        <f>SUM(H125:S125)</f>
        <v>243447</v>
      </c>
      <c r="H125" s="537">
        <v>18673</v>
      </c>
      <c r="I125" s="538">
        <v>19281</v>
      </c>
      <c r="J125" s="538">
        <v>19777</v>
      </c>
      <c r="K125" s="538">
        <v>20069</v>
      </c>
      <c r="L125" s="538">
        <v>20523</v>
      </c>
      <c r="M125" s="512">
        <v>20799</v>
      </c>
      <c r="N125" s="538">
        <v>21117</v>
      </c>
      <c r="O125" s="538">
        <v>21196</v>
      </c>
      <c r="P125" s="538">
        <v>20943</v>
      </c>
      <c r="Q125" s="538">
        <v>20587</v>
      </c>
      <c r="R125" s="538">
        <v>20420</v>
      </c>
      <c r="S125" s="569">
        <v>20062</v>
      </c>
    </row>
    <row r="126" spans="1:19" ht="15" customHeight="1" x14ac:dyDescent="0.25">
      <c r="A126" s="516"/>
      <c r="B126" s="534" t="s">
        <v>333</v>
      </c>
      <c r="E126" s="736">
        <v>0</v>
      </c>
      <c r="F126" s="737">
        <v>412422</v>
      </c>
      <c r="G126" s="738">
        <f>SUM(H126:S126)</f>
        <v>458549</v>
      </c>
      <c r="H126" s="540">
        <v>35057</v>
      </c>
      <c r="I126" s="541">
        <v>36220</v>
      </c>
      <c r="J126" s="541">
        <v>37346</v>
      </c>
      <c r="K126" s="541">
        <v>37971</v>
      </c>
      <c r="L126" s="541">
        <v>38743</v>
      </c>
      <c r="M126" s="520">
        <v>39263</v>
      </c>
      <c r="N126" s="538">
        <v>39893</v>
      </c>
      <c r="O126" s="541">
        <v>39986</v>
      </c>
      <c r="P126" s="541">
        <v>39454</v>
      </c>
      <c r="Q126" s="541">
        <v>38679</v>
      </c>
      <c r="R126" s="541">
        <v>38253</v>
      </c>
      <c r="S126" s="539">
        <v>37684</v>
      </c>
    </row>
    <row r="127" spans="1:19" ht="15" hidden="1" customHeight="1" x14ac:dyDescent="0.25">
      <c r="A127" s="516"/>
      <c r="B127" s="535" t="s">
        <v>334</v>
      </c>
      <c r="E127" s="736">
        <v>0</v>
      </c>
      <c r="F127" s="737">
        <v>0</v>
      </c>
      <c r="G127" s="738">
        <f>SUM(H127:S127)</f>
        <v>0</v>
      </c>
      <c r="H127" s="570"/>
      <c r="I127" s="558"/>
      <c r="J127" s="558"/>
      <c r="K127" s="558"/>
      <c r="L127" s="558"/>
      <c r="M127" s="977"/>
      <c r="N127" s="538"/>
      <c r="O127" s="558"/>
      <c r="P127" s="558"/>
      <c r="Q127" s="558"/>
      <c r="R127" s="558"/>
      <c r="S127" s="571"/>
    </row>
    <row r="128" spans="1:19" ht="15" customHeight="1" x14ac:dyDescent="0.25">
      <c r="A128" s="516"/>
      <c r="B128" s="535" t="s">
        <v>335</v>
      </c>
      <c r="E128" s="736">
        <v>0</v>
      </c>
      <c r="F128" s="737">
        <v>56104956.780000001</v>
      </c>
      <c r="G128" s="738">
        <f>SUM(H128:S128)</f>
        <v>109921828</v>
      </c>
      <c r="H128" s="572">
        <v>9531174</v>
      </c>
      <c r="I128" s="573">
        <v>9228861</v>
      </c>
      <c r="J128" s="573">
        <v>9518329</v>
      </c>
      <c r="K128" s="573">
        <v>10575221</v>
      </c>
      <c r="L128" s="573">
        <v>10840003</v>
      </c>
      <c r="M128" s="977">
        <v>11017332</v>
      </c>
      <c r="N128" s="538">
        <v>10994131</v>
      </c>
      <c r="O128" s="573">
        <v>11115206</v>
      </c>
      <c r="P128" s="573">
        <v>6962360</v>
      </c>
      <c r="Q128" s="573">
        <v>6843563</v>
      </c>
      <c r="R128" s="573">
        <v>6686974</v>
      </c>
      <c r="S128" s="575">
        <v>6608674</v>
      </c>
    </row>
    <row r="129" spans="1:19" s="655" customFormat="1" ht="15.95" customHeight="1" x14ac:dyDescent="0.25">
      <c r="A129" s="654"/>
      <c r="B129" s="1060" t="s">
        <v>385</v>
      </c>
      <c r="C129" s="1061"/>
      <c r="D129" s="1061"/>
      <c r="E129" s="1061"/>
      <c r="F129" s="1061"/>
      <c r="G129" s="1061"/>
      <c r="H129" s="1061"/>
      <c r="I129" s="1061"/>
      <c r="J129" s="1061"/>
      <c r="K129" s="1061"/>
      <c r="L129" s="1061"/>
      <c r="M129" s="1061"/>
      <c r="N129" s="1061"/>
      <c r="O129" s="1061"/>
      <c r="P129" s="1061"/>
      <c r="Q129" s="1061"/>
      <c r="R129" s="1061"/>
      <c r="S129" s="1062"/>
    </row>
    <row r="130" spans="1:19" ht="19.5" customHeight="1" x14ac:dyDescent="0.25">
      <c r="A130" s="516"/>
      <c r="B130" s="536" t="s">
        <v>386</v>
      </c>
      <c r="E130" s="724">
        <v>0</v>
      </c>
      <c r="F130" s="725">
        <v>559666</v>
      </c>
      <c r="G130" s="739">
        <f>SUM(H130:S130)</f>
        <v>934758</v>
      </c>
      <c r="H130" s="821">
        <v>74632</v>
      </c>
      <c r="I130" s="538">
        <v>75200</v>
      </c>
      <c r="J130" s="831">
        <v>75879</v>
      </c>
      <c r="K130" s="831">
        <v>76500</v>
      </c>
      <c r="L130" s="831">
        <v>77104</v>
      </c>
      <c r="M130" s="512">
        <v>77608</v>
      </c>
      <c r="N130" s="538">
        <v>78512</v>
      </c>
      <c r="O130" s="538">
        <v>79052</v>
      </c>
      <c r="P130" s="538">
        <v>79533</v>
      </c>
      <c r="Q130" s="538">
        <v>79645</v>
      </c>
      <c r="R130" s="538">
        <v>80342</v>
      </c>
      <c r="S130" s="513">
        <v>80751</v>
      </c>
    </row>
    <row r="131" spans="1:19" ht="12.6" hidden="1" customHeight="1" x14ac:dyDescent="0.25">
      <c r="A131" s="516"/>
      <c r="B131" s="534" t="s">
        <v>337</v>
      </c>
      <c r="E131" s="724">
        <v>0</v>
      </c>
      <c r="F131" s="725">
        <v>12670</v>
      </c>
      <c r="G131" s="739">
        <f>SUM(H131:S131)</f>
        <v>0</v>
      </c>
      <c r="H131" s="524"/>
      <c r="I131" s="525"/>
      <c r="J131" s="525"/>
      <c r="K131" s="525"/>
      <c r="L131" s="525"/>
      <c r="M131" s="525"/>
      <c r="N131" s="512"/>
      <c r="O131" s="525"/>
      <c r="P131" s="525"/>
      <c r="Q131" s="525"/>
      <c r="R131" s="525"/>
      <c r="S131" s="521"/>
    </row>
    <row r="132" spans="1:19" ht="15" customHeight="1" x14ac:dyDescent="0.25">
      <c r="A132" s="516"/>
      <c r="B132" s="535" t="s">
        <v>338</v>
      </c>
      <c r="E132" s="724">
        <v>0</v>
      </c>
      <c r="F132" s="725">
        <v>7734</v>
      </c>
      <c r="G132" s="739">
        <f>SUM(H132:S132)</f>
        <v>6151</v>
      </c>
      <c r="H132" s="524">
        <v>549</v>
      </c>
      <c r="I132" s="525">
        <v>540</v>
      </c>
      <c r="J132" s="525">
        <v>538</v>
      </c>
      <c r="K132" s="525">
        <v>526</v>
      </c>
      <c r="L132" s="525">
        <v>523</v>
      </c>
      <c r="M132" s="525">
        <v>519</v>
      </c>
      <c r="N132" s="512">
        <v>523</v>
      </c>
      <c r="O132" s="525">
        <v>520</v>
      </c>
      <c r="P132" s="525">
        <v>471</v>
      </c>
      <c r="Q132" s="525">
        <v>471</v>
      </c>
      <c r="R132" s="525">
        <v>481</v>
      </c>
      <c r="S132" s="526">
        <v>490</v>
      </c>
    </row>
    <row r="133" spans="1:19" ht="25.5" x14ac:dyDescent="0.25">
      <c r="A133" s="516"/>
      <c r="B133" s="900" t="s">
        <v>370</v>
      </c>
      <c r="C133" s="916"/>
      <c r="D133" s="876"/>
      <c r="E133" s="724">
        <v>0</v>
      </c>
      <c r="F133" s="725">
        <v>1.8613464253625978</v>
      </c>
      <c r="G133" s="739">
        <f>SUM(H133:S133)</f>
        <v>2.8862504869676715</v>
      </c>
      <c r="H133" s="849">
        <f>SUM(H132,H130)/T176</f>
        <v>0.23061868667503074</v>
      </c>
      <c r="I133" s="849">
        <f>SUM(I132,I130)/T176</f>
        <v>0.23233342638122437</v>
      </c>
      <c r="J133" s="849">
        <f>SUM(J132,J130)/T176</f>
        <v>0.23441013260858229</v>
      </c>
      <c r="K133" s="849">
        <f>SUM(K132,K130)/T176</f>
        <v>0.23627824795933705</v>
      </c>
      <c r="L133" s="849">
        <f>SUM(L132,L130)/T176</f>
        <v>0.23812182320696204</v>
      </c>
      <c r="M133" s="849">
        <f>SUM(M132,M130)/T176</f>
        <v>0.2396555796525735</v>
      </c>
      <c r="N133" s="849">
        <f>SUM(N132,N130)/T176</f>
        <v>0.24244088135780389</v>
      </c>
      <c r="O133" s="849">
        <f>SUM(O132,O130)/T176</f>
        <v>0.24408813578039062</v>
      </c>
      <c r="P133" s="849">
        <f>SUM(P132,P130)/T176</f>
        <v>0.24541330134939893</v>
      </c>
      <c r="Q133" s="849">
        <f>SUM(Q132,Q130)/T176</f>
        <v>0.2457568627932159</v>
      </c>
      <c r="R133" s="849">
        <f>SUM(R132,R130)/T176</f>
        <v>0.24792559440731049</v>
      </c>
      <c r="S133" s="849">
        <f>SUM(S132,S130)/T176</f>
        <v>0.24920781479584167</v>
      </c>
    </row>
    <row r="134" spans="1:19" ht="27" customHeight="1" x14ac:dyDescent="0.25">
      <c r="A134" s="516"/>
      <c r="B134" s="901" t="s">
        <v>339</v>
      </c>
      <c r="C134" s="916"/>
      <c r="D134" s="876"/>
      <c r="E134" s="724">
        <v>0</v>
      </c>
      <c r="F134" s="740">
        <v>3850262</v>
      </c>
      <c r="G134" s="739">
        <f>SUM(H134:S134)</f>
        <v>2521982</v>
      </c>
      <c r="H134" s="578">
        <v>224634</v>
      </c>
      <c r="I134" s="579">
        <v>211767</v>
      </c>
      <c r="J134" s="579">
        <v>209124</v>
      </c>
      <c r="K134" s="579">
        <v>208325</v>
      </c>
      <c r="L134" s="579">
        <v>196821</v>
      </c>
      <c r="M134" s="862">
        <v>199090</v>
      </c>
      <c r="N134" s="600">
        <v>202962</v>
      </c>
      <c r="O134" s="579">
        <v>201012</v>
      </c>
      <c r="P134" s="579">
        <v>205639</v>
      </c>
      <c r="Q134" s="579">
        <v>217989</v>
      </c>
      <c r="R134" s="579">
        <v>217404</v>
      </c>
      <c r="S134" s="580">
        <v>227215</v>
      </c>
    </row>
    <row r="135" spans="1:19" ht="15" customHeight="1" x14ac:dyDescent="0.25">
      <c r="A135" s="516"/>
      <c r="B135" s="901" t="s">
        <v>387</v>
      </c>
      <c r="C135" s="916"/>
      <c r="D135" s="876"/>
      <c r="E135" s="729"/>
      <c r="F135" s="732"/>
      <c r="G135" s="897"/>
      <c r="H135" s="899" t="s">
        <v>397</v>
      </c>
      <c r="I135" s="899" t="s">
        <v>397</v>
      </c>
      <c r="J135" s="899" t="s">
        <v>397</v>
      </c>
      <c r="K135" s="899" t="s">
        <v>397</v>
      </c>
      <c r="L135" s="899" t="s">
        <v>397</v>
      </c>
      <c r="M135" s="899" t="s">
        <v>397</v>
      </c>
      <c r="N135" s="899" t="s">
        <v>397</v>
      </c>
      <c r="O135" s="983" t="s">
        <v>397</v>
      </c>
      <c r="P135" s="983" t="s">
        <v>397</v>
      </c>
      <c r="Q135" s="983" t="s">
        <v>397</v>
      </c>
      <c r="R135" s="983" t="s">
        <v>397</v>
      </c>
      <c r="S135" s="983" t="s">
        <v>397</v>
      </c>
    </row>
    <row r="136" spans="1:19" s="655" customFormat="1" ht="15.75" customHeight="1" x14ac:dyDescent="0.25">
      <c r="A136" s="654"/>
      <c r="B136" s="1063" t="s">
        <v>88</v>
      </c>
      <c r="C136" s="1064"/>
      <c r="D136" s="1064"/>
      <c r="E136" s="1064"/>
      <c r="F136" s="1064"/>
      <c r="G136" s="1064"/>
      <c r="H136" s="1064"/>
      <c r="I136" s="1064"/>
      <c r="J136" s="1064"/>
      <c r="K136" s="1064"/>
      <c r="L136" s="1064"/>
      <c r="M136" s="1064"/>
      <c r="N136" s="1064"/>
      <c r="O136" s="1064"/>
      <c r="P136" s="1064"/>
      <c r="Q136" s="1064"/>
      <c r="R136" s="1064"/>
      <c r="S136" s="1065"/>
    </row>
    <row r="137" spans="1:19" s="655" customFormat="1" ht="15.95" customHeight="1" x14ac:dyDescent="0.25">
      <c r="A137" s="654"/>
      <c r="B137" s="1066" t="s">
        <v>87</v>
      </c>
      <c r="C137" s="1067"/>
      <c r="D137" s="1067"/>
      <c r="E137" s="1067"/>
      <c r="F137" s="1067"/>
      <c r="G137" s="1067"/>
      <c r="H137" s="1067"/>
      <c r="I137" s="1067"/>
      <c r="J137" s="1067"/>
      <c r="K137" s="1067"/>
      <c r="L137" s="1067"/>
      <c r="M137" s="1067"/>
      <c r="N137" s="1067"/>
      <c r="O137" s="1067"/>
      <c r="P137" s="1067"/>
      <c r="Q137" s="1067"/>
      <c r="R137" s="1067"/>
      <c r="S137" s="1068"/>
    </row>
    <row r="138" spans="1:19" ht="15" customHeight="1" x14ac:dyDescent="0.25">
      <c r="A138" s="516"/>
      <c r="B138" s="536" t="s">
        <v>395</v>
      </c>
      <c r="E138" s="724">
        <v>0</v>
      </c>
      <c r="F138" s="725">
        <v>4108</v>
      </c>
      <c r="G138" s="739">
        <f>SUM(H138:S138)</f>
        <v>1873</v>
      </c>
      <c r="H138" s="511">
        <v>157</v>
      </c>
      <c r="I138" s="561">
        <v>156</v>
      </c>
      <c r="J138" s="561">
        <v>156</v>
      </c>
      <c r="K138" s="561">
        <v>157</v>
      </c>
      <c r="L138" s="561">
        <v>154</v>
      </c>
      <c r="M138" s="561">
        <v>157</v>
      </c>
      <c r="N138" s="512">
        <v>152</v>
      </c>
      <c r="O138" s="561">
        <v>152</v>
      </c>
      <c r="P138" s="561">
        <v>151</v>
      </c>
      <c r="Q138" s="561">
        <v>157</v>
      </c>
      <c r="R138" s="561">
        <v>162</v>
      </c>
      <c r="S138" s="561">
        <v>162</v>
      </c>
    </row>
    <row r="139" spans="1:19" ht="15" customHeight="1" x14ac:dyDescent="0.25">
      <c r="A139" s="516"/>
      <c r="B139" s="762" t="s">
        <v>340</v>
      </c>
      <c r="C139" s="907"/>
      <c r="E139" s="724">
        <v>0</v>
      </c>
      <c r="F139" s="725">
        <v>3156</v>
      </c>
      <c r="G139" s="739">
        <f>SUM(H139:S139)</f>
        <v>1546</v>
      </c>
      <c r="H139" s="519">
        <v>130</v>
      </c>
      <c r="I139" s="520">
        <v>129</v>
      </c>
      <c r="J139" s="520">
        <v>130</v>
      </c>
      <c r="K139" s="561">
        <v>132</v>
      </c>
      <c r="L139" s="561">
        <v>128</v>
      </c>
      <c r="M139" s="561">
        <v>130</v>
      </c>
      <c r="N139" s="512">
        <v>128</v>
      </c>
      <c r="O139" s="807">
        <v>128</v>
      </c>
      <c r="P139" s="520">
        <v>125</v>
      </c>
      <c r="Q139" s="520">
        <v>129</v>
      </c>
      <c r="R139" s="520">
        <v>129</v>
      </c>
      <c r="S139" s="521">
        <v>128</v>
      </c>
    </row>
    <row r="140" spans="1:19" ht="15" customHeight="1" x14ac:dyDescent="0.25">
      <c r="A140" s="516"/>
      <c r="B140" s="762" t="s">
        <v>341</v>
      </c>
      <c r="C140" s="907"/>
      <c r="E140" s="724">
        <v>0</v>
      </c>
      <c r="F140" s="725">
        <v>952</v>
      </c>
      <c r="G140" s="739">
        <f>SUM(H140:S140)</f>
        <v>394</v>
      </c>
      <c r="H140" s="519">
        <v>27</v>
      </c>
      <c r="I140" s="520">
        <v>27</v>
      </c>
      <c r="J140" s="520">
        <v>26</v>
      </c>
      <c r="K140" s="561">
        <v>25</v>
      </c>
      <c r="L140" s="561">
        <v>26</v>
      </c>
      <c r="M140" s="561">
        <v>27</v>
      </c>
      <c r="N140" s="512">
        <v>24</v>
      </c>
      <c r="O140" s="807">
        <v>24</v>
      </c>
      <c r="P140" s="520">
        <v>26</v>
      </c>
      <c r="Q140" s="520">
        <v>95</v>
      </c>
      <c r="R140" s="520">
        <v>33</v>
      </c>
      <c r="S140" s="521">
        <v>34</v>
      </c>
    </row>
    <row r="141" spans="1:19" ht="15" customHeight="1" x14ac:dyDescent="0.25">
      <c r="A141" s="516"/>
      <c r="B141" s="535" t="s">
        <v>342</v>
      </c>
      <c r="E141" s="724">
        <v>0</v>
      </c>
      <c r="F141" s="725">
        <v>883408</v>
      </c>
      <c r="G141" s="739">
        <f>SUM(H141:S141)</f>
        <v>581233.5</v>
      </c>
      <c r="H141" s="578">
        <v>34197</v>
      </c>
      <c r="I141" s="574">
        <v>168347.5</v>
      </c>
      <c r="J141" s="574">
        <v>33900</v>
      </c>
      <c r="K141" s="574">
        <v>33746</v>
      </c>
      <c r="L141" s="574">
        <v>36110</v>
      </c>
      <c r="M141" s="551">
        <v>34701</v>
      </c>
      <c r="N141" s="574">
        <v>36334</v>
      </c>
      <c r="O141" s="923">
        <v>37046</v>
      </c>
      <c r="P141" s="574">
        <v>39821</v>
      </c>
      <c r="Q141" s="574">
        <v>42580</v>
      </c>
      <c r="R141" s="574">
        <v>41716</v>
      </c>
      <c r="S141" s="575">
        <v>42735</v>
      </c>
    </row>
    <row r="142" spans="1:19" s="655" customFormat="1" ht="15.95" customHeight="1" x14ac:dyDescent="0.25">
      <c r="A142" s="654"/>
      <c r="B142" s="1051" t="s">
        <v>89</v>
      </c>
      <c r="C142" s="1052"/>
      <c r="D142" s="1052"/>
      <c r="E142" s="1052"/>
      <c r="F142" s="1052"/>
      <c r="G142" s="1052"/>
      <c r="H142" s="1052"/>
      <c r="I142" s="1052"/>
      <c r="J142" s="1052"/>
      <c r="K142" s="1052"/>
      <c r="L142" s="1052"/>
      <c r="M142" s="1052"/>
      <c r="N142" s="1052"/>
      <c r="O142" s="1052"/>
      <c r="P142" s="1052"/>
      <c r="Q142" s="1052"/>
      <c r="R142" s="1052"/>
      <c r="S142" s="1053"/>
    </row>
    <row r="143" spans="1:19" ht="15" customHeight="1" x14ac:dyDescent="0.25">
      <c r="A143" s="516"/>
      <c r="B143" s="536" t="s">
        <v>343</v>
      </c>
      <c r="E143" s="724">
        <v>0</v>
      </c>
      <c r="F143" s="725">
        <v>934</v>
      </c>
      <c r="G143" s="739">
        <f>SUM(H143:S143)</f>
        <v>0</v>
      </c>
      <c r="H143" s="892" t="s">
        <v>144</v>
      </c>
      <c r="I143" s="696" t="s">
        <v>144</v>
      </c>
      <c r="J143" s="892" t="s">
        <v>144</v>
      </c>
      <c r="K143" s="892" t="s">
        <v>144</v>
      </c>
      <c r="L143" s="892" t="s">
        <v>144</v>
      </c>
      <c r="M143" s="984" t="s">
        <v>144</v>
      </c>
      <c r="N143" s="984" t="s">
        <v>144</v>
      </c>
      <c r="O143" s="984" t="s">
        <v>144</v>
      </c>
      <c r="P143" s="984" t="s">
        <v>144</v>
      </c>
      <c r="Q143" s="984" t="s">
        <v>144</v>
      </c>
      <c r="R143" s="984" t="s">
        <v>144</v>
      </c>
      <c r="S143" s="984" t="s">
        <v>144</v>
      </c>
    </row>
    <row r="144" spans="1:19" ht="15" hidden="1" customHeight="1" x14ac:dyDescent="0.25">
      <c r="A144" s="516"/>
      <c r="B144" s="581" t="s">
        <v>344</v>
      </c>
      <c r="C144" s="916"/>
      <c r="D144" s="876"/>
      <c r="E144" s="741">
        <v>0</v>
      </c>
      <c r="F144" s="742">
        <v>0</v>
      </c>
      <c r="G144" s="739">
        <f>SUM(H144:S144)</f>
        <v>0</v>
      </c>
      <c r="H144" s="507"/>
      <c r="I144" s="696" t="s">
        <v>144</v>
      </c>
      <c r="J144" s="507"/>
      <c r="K144" s="507"/>
      <c r="L144" s="507"/>
      <c r="M144" s="985"/>
      <c r="N144" s="985"/>
      <c r="O144" s="985"/>
      <c r="P144" s="985"/>
      <c r="Q144" s="985"/>
      <c r="R144" s="985"/>
      <c r="S144" s="985"/>
    </row>
    <row r="145" spans="1:19" ht="15" hidden="1" customHeight="1" x14ac:dyDescent="0.25">
      <c r="A145" s="516"/>
      <c r="B145" s="535" t="s">
        <v>345</v>
      </c>
      <c r="E145" s="743">
        <v>0</v>
      </c>
      <c r="F145" s="744">
        <v>0</v>
      </c>
      <c r="G145" s="745">
        <f>SUM(H145:S145)</f>
        <v>0</v>
      </c>
      <c r="H145" s="507"/>
      <c r="I145" s="696" t="s">
        <v>144</v>
      </c>
      <c r="J145" s="507"/>
      <c r="K145" s="507"/>
      <c r="L145" s="507"/>
      <c r="M145" s="985"/>
      <c r="N145" s="985"/>
      <c r="O145" s="985"/>
      <c r="P145" s="985"/>
      <c r="Q145" s="985"/>
      <c r="R145" s="985"/>
      <c r="S145" s="985"/>
    </row>
    <row r="146" spans="1:19" ht="15" customHeight="1" x14ac:dyDescent="0.25">
      <c r="A146" s="516"/>
      <c r="B146" s="534" t="s">
        <v>346</v>
      </c>
      <c r="C146" s="909"/>
      <c r="D146" s="871"/>
      <c r="E146" s="667" t="s">
        <v>144</v>
      </c>
      <c r="F146" s="518" t="s">
        <v>144</v>
      </c>
      <c r="G146" s="683"/>
      <c r="H146" s="507" t="s">
        <v>144</v>
      </c>
      <c r="I146" s="696" t="s">
        <v>144</v>
      </c>
      <c r="J146" s="507" t="s">
        <v>144</v>
      </c>
      <c r="K146" s="507" t="s">
        <v>144</v>
      </c>
      <c r="L146" s="507" t="s">
        <v>144</v>
      </c>
      <c r="M146" s="985" t="s">
        <v>144</v>
      </c>
      <c r="N146" s="985" t="s">
        <v>144</v>
      </c>
      <c r="O146" s="985" t="s">
        <v>144</v>
      </c>
      <c r="P146" s="985" t="s">
        <v>144</v>
      </c>
      <c r="Q146" s="985" t="s">
        <v>144</v>
      </c>
      <c r="R146" s="985" t="s">
        <v>144</v>
      </c>
      <c r="S146" s="985" t="s">
        <v>144</v>
      </c>
    </row>
    <row r="147" spans="1:19" ht="15" customHeight="1" x14ac:dyDescent="0.25">
      <c r="A147" s="516"/>
      <c r="B147" s="587" t="s">
        <v>347</v>
      </c>
      <c r="C147" s="917"/>
      <c r="D147" s="881"/>
      <c r="E147" s="537">
        <v>34</v>
      </c>
      <c r="F147" s="518">
        <v>34</v>
      </c>
      <c r="G147" s="542">
        <f>SUM(H147:S147)</f>
        <v>27</v>
      </c>
      <c r="H147" s="588">
        <v>3</v>
      </c>
      <c r="I147" s="589">
        <v>6</v>
      </c>
      <c r="J147" s="589">
        <v>5</v>
      </c>
      <c r="K147" s="589">
        <v>1</v>
      </c>
      <c r="L147" s="589">
        <v>1</v>
      </c>
      <c r="M147" s="1000">
        <v>1</v>
      </c>
      <c r="N147" s="589">
        <v>0</v>
      </c>
      <c r="O147" s="696">
        <v>1</v>
      </c>
      <c r="P147" s="589">
        <v>1</v>
      </c>
      <c r="Q147" s="589">
        <v>2</v>
      </c>
      <c r="R147" s="589">
        <v>2</v>
      </c>
      <c r="S147" s="590">
        <v>4</v>
      </c>
    </row>
    <row r="148" spans="1:19" s="655" customFormat="1" ht="15.95" customHeight="1" x14ac:dyDescent="0.25">
      <c r="A148" s="654"/>
      <c r="B148" s="1054" t="s">
        <v>266</v>
      </c>
      <c r="C148" s="1069"/>
      <c r="D148" s="1069"/>
      <c r="E148" s="1069"/>
      <c r="F148" s="1069"/>
      <c r="G148" s="1055"/>
      <c r="H148" s="1055"/>
      <c r="I148" s="1055"/>
      <c r="J148" s="1055"/>
      <c r="K148" s="1055"/>
      <c r="L148" s="1055"/>
      <c r="M148" s="1055"/>
      <c r="N148" s="1055"/>
      <c r="O148" s="1055"/>
      <c r="P148" s="1055"/>
      <c r="Q148" s="1055"/>
      <c r="R148" s="1055"/>
      <c r="S148" s="1056"/>
    </row>
    <row r="149" spans="1:19" s="655" customFormat="1" ht="15.95" customHeight="1" x14ac:dyDescent="0.25">
      <c r="A149" s="654"/>
      <c r="B149" s="1070" t="s">
        <v>94</v>
      </c>
      <c r="C149" s="1071"/>
      <c r="D149" s="1071"/>
      <c r="E149" s="1071"/>
      <c r="F149" s="1071"/>
      <c r="G149" s="1071"/>
      <c r="H149" s="1071"/>
      <c r="I149" s="1071"/>
      <c r="J149" s="1071"/>
      <c r="K149" s="1071"/>
      <c r="L149" s="1071"/>
      <c r="M149" s="1071"/>
      <c r="N149" s="1071"/>
      <c r="O149" s="1071"/>
      <c r="P149" s="1071"/>
      <c r="Q149" s="1071"/>
      <c r="R149" s="1071"/>
      <c r="S149" s="1072"/>
    </row>
    <row r="150" spans="1:19" ht="15" customHeight="1" x14ac:dyDescent="0.25">
      <c r="A150" s="516"/>
      <c r="B150" s="536" t="s">
        <v>348</v>
      </c>
      <c r="C150" s="909"/>
      <c r="D150" s="871"/>
      <c r="E150" s="960">
        <v>183973.25</v>
      </c>
      <c r="F150" s="960">
        <v>181770.77</v>
      </c>
      <c r="G150" s="591">
        <f>SUM(G151:G156)</f>
        <v>88355.38</v>
      </c>
      <c r="H150" s="923">
        <v>6943</v>
      </c>
      <c r="I150" s="923">
        <f>SUM(I151:I152)</f>
        <v>8951.9500000000007</v>
      </c>
      <c r="J150" s="838">
        <f>SUM(J151:J156)</f>
        <v>8236.01</v>
      </c>
      <c r="K150" s="838">
        <f>SUM(K151:K156)</f>
        <v>6416.28</v>
      </c>
      <c r="L150" s="838">
        <v>4928.6400000000003</v>
      </c>
      <c r="M150" s="838">
        <v>5941</v>
      </c>
      <c r="N150" s="838">
        <v>6506.12</v>
      </c>
      <c r="O150" s="680">
        <v>12068.58</v>
      </c>
      <c r="P150" s="680">
        <v>10640.59</v>
      </c>
      <c r="Q150" s="680">
        <v>5258.33</v>
      </c>
      <c r="R150" s="680">
        <v>5978.49</v>
      </c>
      <c r="S150" s="680">
        <v>7386.39</v>
      </c>
    </row>
    <row r="151" spans="1:19" ht="15" customHeight="1" x14ac:dyDescent="0.25">
      <c r="A151" s="516"/>
      <c r="B151" s="763" t="s">
        <v>349</v>
      </c>
      <c r="C151" s="918"/>
      <c r="D151" s="871"/>
      <c r="E151" s="960">
        <v>1071</v>
      </c>
      <c r="F151" s="960">
        <v>677</v>
      </c>
      <c r="G151" s="591">
        <f t="shared" ref="G151:G156" si="5">SUM(H151:S151)</f>
        <v>1500</v>
      </c>
      <c r="H151" s="969">
        <v>0</v>
      </c>
      <c r="I151" s="551">
        <v>377</v>
      </c>
      <c r="J151" s="551">
        <v>0</v>
      </c>
      <c r="K151" s="851">
        <v>1123</v>
      </c>
      <c r="L151" s="551">
        <v>0</v>
      </c>
      <c r="M151" s="551">
        <v>0</v>
      </c>
      <c r="N151" s="551">
        <v>0</v>
      </c>
      <c r="O151" s="551">
        <v>0</v>
      </c>
      <c r="P151" s="551">
        <v>0</v>
      </c>
      <c r="Q151" s="551">
        <v>0</v>
      </c>
      <c r="R151" s="551">
        <v>0</v>
      </c>
      <c r="S151" s="552">
        <v>0</v>
      </c>
    </row>
    <row r="152" spans="1:19" ht="15" customHeight="1" x14ac:dyDescent="0.25">
      <c r="A152" s="516"/>
      <c r="B152" s="762" t="s">
        <v>350</v>
      </c>
      <c r="C152" s="910"/>
      <c r="D152" s="873"/>
      <c r="E152" s="960">
        <v>125574.99</v>
      </c>
      <c r="F152" s="960">
        <v>147496.13</v>
      </c>
      <c r="G152" s="592">
        <f t="shared" si="5"/>
        <v>76404.180000000008</v>
      </c>
      <c r="H152" s="969">
        <v>6783</v>
      </c>
      <c r="I152" s="551">
        <v>8574.9500000000007</v>
      </c>
      <c r="J152" s="851">
        <v>8136.01</v>
      </c>
      <c r="K152" s="851">
        <v>5193.28</v>
      </c>
      <c r="L152" s="551">
        <v>4828.6400000000003</v>
      </c>
      <c r="M152" s="1007">
        <v>5841</v>
      </c>
      <c r="N152" s="551">
        <v>5761.12</v>
      </c>
      <c r="O152" s="1009">
        <v>4678.38</v>
      </c>
      <c r="P152" s="967">
        <v>10184.59</v>
      </c>
      <c r="Q152" s="967">
        <v>5158.33</v>
      </c>
      <c r="R152" s="967">
        <v>4978.49</v>
      </c>
      <c r="S152" s="552">
        <v>6286.39</v>
      </c>
    </row>
    <row r="153" spans="1:19" ht="27.6" customHeight="1" x14ac:dyDescent="0.25">
      <c r="A153" s="516"/>
      <c r="B153" s="762" t="s">
        <v>351</v>
      </c>
      <c r="C153" s="910"/>
      <c r="D153" s="873"/>
      <c r="E153" s="960">
        <v>5226.96</v>
      </c>
      <c r="F153" s="960">
        <v>2246.6799999999998</v>
      </c>
      <c r="G153" s="592">
        <f t="shared" si="5"/>
        <v>1800</v>
      </c>
      <c r="H153" s="969">
        <v>160</v>
      </c>
      <c r="I153" s="551">
        <v>0</v>
      </c>
      <c r="J153" s="551">
        <v>0</v>
      </c>
      <c r="K153" s="851">
        <v>0</v>
      </c>
      <c r="L153" s="551">
        <v>0</v>
      </c>
      <c r="M153" s="551">
        <v>0</v>
      </c>
      <c r="N153" s="551">
        <v>640</v>
      </c>
      <c r="O153" s="851">
        <v>0</v>
      </c>
      <c r="P153" s="551">
        <v>0</v>
      </c>
      <c r="Q153" s="551">
        <v>0</v>
      </c>
      <c r="R153" s="551">
        <v>0</v>
      </c>
      <c r="S153" s="552">
        <v>1000</v>
      </c>
    </row>
    <row r="154" spans="1:19" ht="15" customHeight="1" x14ac:dyDescent="0.25">
      <c r="A154" s="516"/>
      <c r="B154" s="762" t="s">
        <v>352</v>
      </c>
      <c r="C154" s="910"/>
      <c r="D154" s="873"/>
      <c r="E154" s="960">
        <v>43761.8</v>
      </c>
      <c r="F154" s="960">
        <v>28958.059999999998</v>
      </c>
      <c r="G154" s="592">
        <f t="shared" si="5"/>
        <v>7646.2</v>
      </c>
      <c r="H154" s="969">
        <v>0</v>
      </c>
      <c r="I154" s="969">
        <v>0</v>
      </c>
      <c r="J154" s="696">
        <v>0</v>
      </c>
      <c r="K154" s="851">
        <v>0</v>
      </c>
      <c r="L154" s="862">
        <v>0</v>
      </c>
      <c r="M154" s="923">
        <v>0</v>
      </c>
      <c r="N154" s="551">
        <v>0</v>
      </c>
      <c r="O154" s="1009">
        <v>7290.2</v>
      </c>
      <c r="P154" s="551">
        <v>356</v>
      </c>
      <c r="Q154" s="551">
        <v>0</v>
      </c>
      <c r="R154" s="551">
        <v>0</v>
      </c>
      <c r="S154" s="551">
        <v>0</v>
      </c>
    </row>
    <row r="155" spans="1:19" ht="15" customHeight="1" x14ac:dyDescent="0.25">
      <c r="A155" s="516"/>
      <c r="B155" s="762" t="s">
        <v>353</v>
      </c>
      <c r="C155" s="910"/>
      <c r="D155" s="873"/>
      <c r="E155" s="960">
        <v>8338.5</v>
      </c>
      <c r="F155" s="960">
        <v>2362.9</v>
      </c>
      <c r="G155" s="592">
        <f t="shared" si="5"/>
        <v>1005</v>
      </c>
      <c r="H155" s="969">
        <v>0</v>
      </c>
      <c r="I155" s="969">
        <v>0</v>
      </c>
      <c r="J155" s="851">
        <v>100</v>
      </c>
      <c r="K155" s="851">
        <v>100</v>
      </c>
      <c r="L155" s="551">
        <v>100</v>
      </c>
      <c r="M155" s="1007">
        <v>100</v>
      </c>
      <c r="N155" s="551">
        <v>105</v>
      </c>
      <c r="O155" s="851">
        <v>100</v>
      </c>
      <c r="P155" s="551">
        <v>100</v>
      </c>
      <c r="Q155" s="551">
        <v>100</v>
      </c>
      <c r="R155" s="967">
        <v>100</v>
      </c>
      <c r="S155" s="967">
        <v>100</v>
      </c>
    </row>
    <row r="156" spans="1:19" ht="15" customHeight="1" x14ac:dyDescent="0.25">
      <c r="A156" s="516"/>
      <c r="B156" s="761" t="s">
        <v>354</v>
      </c>
      <c r="C156" s="906"/>
      <c r="D156" s="872"/>
      <c r="E156" s="960">
        <v>0</v>
      </c>
      <c r="F156" s="960">
        <v>30</v>
      </c>
      <c r="G156" s="593">
        <f t="shared" si="5"/>
        <v>0</v>
      </c>
      <c r="H156" s="969">
        <v>0</v>
      </c>
      <c r="I156" s="969">
        <v>0</v>
      </c>
      <c r="J156" s="550">
        <v>0</v>
      </c>
      <c r="K156" s="851">
        <v>0</v>
      </c>
      <c r="L156" s="551">
        <v>0</v>
      </c>
      <c r="M156" s="551">
        <v>0</v>
      </c>
      <c r="N156" s="551">
        <v>0</v>
      </c>
      <c r="O156" s="851">
        <v>0</v>
      </c>
      <c r="P156" s="551">
        <v>0</v>
      </c>
      <c r="Q156" s="551">
        <v>0</v>
      </c>
      <c r="R156" s="551">
        <v>0</v>
      </c>
      <c r="S156" s="551">
        <v>0</v>
      </c>
    </row>
    <row r="157" spans="1:19" s="655" customFormat="1" ht="15.95" customHeight="1" x14ac:dyDescent="0.25">
      <c r="A157" s="654"/>
      <c r="B157" s="1060" t="s">
        <v>95</v>
      </c>
      <c r="C157" s="1061"/>
      <c r="D157" s="1061"/>
      <c r="E157" s="1061"/>
      <c r="F157" s="1061"/>
      <c r="G157" s="1061"/>
      <c r="H157" s="1061"/>
      <c r="I157" s="1061"/>
      <c r="J157" s="1061"/>
      <c r="K157" s="1061"/>
      <c r="L157" s="1061"/>
      <c r="M157" s="1061"/>
      <c r="N157" s="1061"/>
      <c r="O157" s="1061"/>
      <c r="P157" s="1061"/>
      <c r="Q157" s="1061"/>
      <c r="R157" s="1061"/>
      <c r="S157" s="1062"/>
    </row>
    <row r="158" spans="1:19" ht="15" customHeight="1" x14ac:dyDescent="0.25">
      <c r="A158" s="516"/>
      <c r="B158" s="536" t="s">
        <v>355</v>
      </c>
      <c r="C158" s="909"/>
      <c r="D158" s="871"/>
      <c r="E158" s="706">
        <v>26704</v>
      </c>
      <c r="F158" s="707">
        <v>29850</v>
      </c>
      <c r="G158" s="510">
        <f>SUM(H158:S158)</f>
        <v>33057</v>
      </c>
      <c r="H158" s="537">
        <v>2163</v>
      </c>
      <c r="I158" s="537">
        <v>2976</v>
      </c>
      <c r="J158" s="566">
        <v>2589</v>
      </c>
      <c r="K158" s="537">
        <v>2308</v>
      </c>
      <c r="L158" s="566">
        <v>2027</v>
      </c>
      <c r="M158" s="561">
        <v>2572</v>
      </c>
      <c r="N158" s="537">
        <v>2969</v>
      </c>
      <c r="O158" s="537">
        <v>2479</v>
      </c>
      <c r="P158" s="566">
        <v>2968</v>
      </c>
      <c r="Q158" s="566">
        <v>2466</v>
      </c>
      <c r="R158" s="566">
        <v>3361</v>
      </c>
      <c r="S158" s="566">
        <v>4179</v>
      </c>
    </row>
    <row r="159" spans="1:19" ht="15" customHeight="1" x14ac:dyDescent="0.25">
      <c r="A159" s="516"/>
      <c r="B159" s="763" t="s">
        <v>97</v>
      </c>
      <c r="C159" s="918"/>
      <c r="D159" s="871"/>
      <c r="E159" s="706">
        <v>26634</v>
      </c>
      <c r="F159" s="707">
        <v>29850</v>
      </c>
      <c r="G159" s="510">
        <f>SUM(I159:S159)</f>
        <v>30747</v>
      </c>
      <c r="H159" s="537">
        <v>2163</v>
      </c>
      <c r="I159" s="537">
        <v>2976</v>
      </c>
      <c r="J159" s="566">
        <v>2589</v>
      </c>
      <c r="K159" s="537">
        <v>2308</v>
      </c>
      <c r="L159" s="566">
        <v>2027</v>
      </c>
      <c r="M159" s="561">
        <v>2572</v>
      </c>
      <c r="N159" s="537">
        <v>2969</v>
      </c>
      <c r="O159" s="537">
        <v>2479</v>
      </c>
      <c r="P159" s="566">
        <v>2968</v>
      </c>
      <c r="Q159" s="566">
        <v>2466</v>
      </c>
      <c r="R159" s="566">
        <v>3361</v>
      </c>
      <c r="S159" s="566">
        <v>4032</v>
      </c>
    </row>
    <row r="160" spans="1:19" ht="15" customHeight="1" x14ac:dyDescent="0.25">
      <c r="A160" s="516"/>
      <c r="B160" s="762" t="s">
        <v>371</v>
      </c>
      <c r="C160" s="910"/>
      <c r="D160" s="873"/>
      <c r="E160" s="706">
        <v>70</v>
      </c>
      <c r="F160" s="707">
        <v>0</v>
      </c>
      <c r="G160" s="523">
        <f>SUM(I160:S160)</f>
        <v>147</v>
      </c>
      <c r="H160" s="566">
        <v>0</v>
      </c>
      <c r="I160" s="537">
        <v>0</v>
      </c>
      <c r="J160" s="566">
        <v>0</v>
      </c>
      <c r="K160" s="566">
        <v>0</v>
      </c>
      <c r="L160" s="566">
        <v>0</v>
      </c>
      <c r="M160" s="561">
        <v>0</v>
      </c>
      <c r="N160" s="561">
        <v>0</v>
      </c>
      <c r="O160" s="561">
        <v>0</v>
      </c>
      <c r="P160" s="566">
        <v>0</v>
      </c>
      <c r="Q160" s="566">
        <v>0</v>
      </c>
      <c r="R160" s="566">
        <v>0</v>
      </c>
      <c r="S160" s="566">
        <v>147</v>
      </c>
    </row>
    <row r="161" spans="1:20" ht="15" customHeight="1" x14ac:dyDescent="0.25">
      <c r="A161" s="516"/>
      <c r="B161" s="534" t="s">
        <v>356</v>
      </c>
      <c r="C161" s="911"/>
      <c r="D161" s="873"/>
      <c r="E161" s="706">
        <v>162447</v>
      </c>
      <c r="F161" s="707">
        <v>153019</v>
      </c>
      <c r="G161" s="523">
        <f>SUM(H161:S161)</f>
        <v>151650</v>
      </c>
      <c r="H161" s="537">
        <v>16256</v>
      </c>
      <c r="I161" s="823">
        <v>4613</v>
      </c>
      <c r="J161" s="566">
        <v>12812</v>
      </c>
      <c r="K161" s="566">
        <v>12855</v>
      </c>
      <c r="L161" s="566">
        <v>12111</v>
      </c>
      <c r="M161" s="561">
        <v>11655</v>
      </c>
      <c r="N161" s="566">
        <v>15385</v>
      </c>
      <c r="O161" s="566">
        <v>13131</v>
      </c>
      <c r="P161" s="566">
        <f>P162+33</f>
        <v>13747</v>
      </c>
      <c r="Q161" s="566">
        <v>12041</v>
      </c>
      <c r="R161" s="566">
        <v>13468</v>
      </c>
      <c r="S161" s="1012">
        <v>13576</v>
      </c>
    </row>
    <row r="162" spans="1:20" ht="15" customHeight="1" x14ac:dyDescent="0.25">
      <c r="A162" s="516"/>
      <c r="B162" s="762" t="s">
        <v>357</v>
      </c>
      <c r="C162" s="910"/>
      <c r="D162" s="873"/>
      <c r="E162" s="706">
        <v>160169</v>
      </c>
      <c r="F162" s="707">
        <v>151149</v>
      </c>
      <c r="G162" s="523">
        <f>SUM(H162:S162)</f>
        <v>150104</v>
      </c>
      <c r="H162" s="537">
        <v>16102</v>
      </c>
      <c r="I162" s="823">
        <v>4462</v>
      </c>
      <c r="J162" s="566">
        <v>12669</v>
      </c>
      <c r="K162" s="566">
        <v>12992</v>
      </c>
      <c r="L162" s="566">
        <v>11953</v>
      </c>
      <c r="M162" s="561">
        <v>11611</v>
      </c>
      <c r="N162" s="566">
        <v>15339</v>
      </c>
      <c r="O162" s="566">
        <v>13082</v>
      </c>
      <c r="P162" s="566">
        <v>13714</v>
      </c>
      <c r="Q162" s="566">
        <v>12016</v>
      </c>
      <c r="R162" s="566">
        <v>12998</v>
      </c>
      <c r="S162" s="1012">
        <v>13166</v>
      </c>
    </row>
    <row r="163" spans="1:20" ht="15" customHeight="1" x14ac:dyDescent="0.25">
      <c r="A163" s="516"/>
      <c r="B163" s="761" t="s">
        <v>358</v>
      </c>
      <c r="C163" s="906"/>
      <c r="D163" s="872"/>
      <c r="E163" s="938">
        <v>0.98455833333333354</v>
      </c>
      <c r="F163" s="939">
        <v>0.98677500000000007</v>
      </c>
      <c r="G163" s="946">
        <f>AVERAGE(H163:S163)</f>
        <v>0.988876936394531</v>
      </c>
      <c r="H163" s="828">
        <v>0.99</v>
      </c>
      <c r="I163" s="830">
        <v>0.96730000000000005</v>
      </c>
      <c r="J163" s="827">
        <v>0.99</v>
      </c>
      <c r="K163" s="827">
        <v>0.99</v>
      </c>
      <c r="L163" s="827">
        <v>0.98599999999999999</v>
      </c>
      <c r="M163" s="827">
        <v>0.996</v>
      </c>
      <c r="N163" s="596">
        <v>0.997</v>
      </c>
      <c r="O163" s="596">
        <v>0.996</v>
      </c>
      <c r="P163" s="596">
        <f>P162/P161</f>
        <v>0.99759947624936351</v>
      </c>
      <c r="Q163" s="596">
        <f>Q162/Q161</f>
        <v>0.99792376048500953</v>
      </c>
      <c r="R163" s="596">
        <v>0.98970000000000002</v>
      </c>
      <c r="S163" s="596">
        <v>0.96899999999999997</v>
      </c>
    </row>
    <row r="164" spans="1:20" s="655" customFormat="1" ht="15.95" customHeight="1" x14ac:dyDescent="0.25">
      <c r="A164" s="654"/>
      <c r="B164" s="1060" t="s">
        <v>359</v>
      </c>
      <c r="C164" s="1061"/>
      <c r="D164" s="1061"/>
      <c r="E164" s="1061"/>
      <c r="F164" s="1061"/>
      <c r="G164" s="1061"/>
      <c r="H164" s="1061"/>
      <c r="I164" s="1061"/>
      <c r="J164" s="1061"/>
      <c r="K164" s="1061"/>
      <c r="L164" s="1061"/>
      <c r="M164" s="1061"/>
      <c r="N164" s="1061"/>
      <c r="O164" s="1061"/>
      <c r="P164" s="1061"/>
      <c r="Q164" s="1061"/>
      <c r="R164" s="1061"/>
      <c r="S164" s="1062"/>
    </row>
    <row r="165" spans="1:20" ht="32.25" customHeight="1" thickBot="1" x14ac:dyDescent="0.3">
      <c r="A165" s="516"/>
      <c r="B165" s="1011" t="s">
        <v>420</v>
      </c>
      <c r="C165" s="909"/>
      <c r="D165" s="871"/>
      <c r="E165" s="686">
        <v>5168</v>
      </c>
      <c r="F165" s="697">
        <v>2699</v>
      </c>
      <c r="G165" s="529">
        <f t="shared" ref="G165:G171" si="6">SUM(H165:S165)</f>
        <v>3277</v>
      </c>
      <c r="H165" s="511">
        <v>190</v>
      </c>
      <c r="I165" s="511">
        <v>132</v>
      </c>
      <c r="J165" s="511">
        <v>259</v>
      </c>
      <c r="K165" s="511">
        <v>198</v>
      </c>
      <c r="L165" s="511">
        <v>184</v>
      </c>
      <c r="M165" s="511">
        <v>193</v>
      </c>
      <c r="N165" s="512">
        <v>201</v>
      </c>
      <c r="O165" s="512">
        <v>150</v>
      </c>
      <c r="P165" s="512">
        <v>298</v>
      </c>
      <c r="Q165" s="512">
        <v>652</v>
      </c>
      <c r="R165" s="512">
        <v>278</v>
      </c>
      <c r="S165" s="512">
        <v>542</v>
      </c>
    </row>
    <row r="166" spans="1:20" ht="23.45" customHeight="1" x14ac:dyDescent="0.25">
      <c r="A166" s="516"/>
      <c r="B166" s="760" t="s">
        <v>421</v>
      </c>
      <c r="C166" s="905"/>
      <c r="D166" s="874"/>
      <c r="E166" s="686">
        <v>3802</v>
      </c>
      <c r="F166" s="697">
        <v>336</v>
      </c>
      <c r="G166" s="517">
        <f t="shared" si="6"/>
        <v>349</v>
      </c>
      <c r="H166" s="1006">
        <v>23</v>
      </c>
      <c r="I166" s="1006">
        <v>22</v>
      </c>
      <c r="J166" s="1006">
        <v>25</v>
      </c>
      <c r="K166" s="1006">
        <v>43</v>
      </c>
      <c r="L166" s="1006">
        <v>28</v>
      </c>
      <c r="M166" s="1006">
        <v>22</v>
      </c>
      <c r="N166" s="968">
        <v>9</v>
      </c>
      <c r="O166" s="968">
        <v>1</v>
      </c>
      <c r="P166" s="968">
        <v>83</v>
      </c>
      <c r="Q166" s="968">
        <v>66</v>
      </c>
      <c r="R166" s="968">
        <v>11</v>
      </c>
      <c r="S166" s="968">
        <v>16</v>
      </c>
    </row>
    <row r="167" spans="1:20" ht="23.45" hidden="1" customHeight="1" x14ac:dyDescent="0.25">
      <c r="A167" s="516"/>
      <c r="B167" s="760" t="s">
        <v>362</v>
      </c>
      <c r="C167" s="905"/>
      <c r="D167" s="874"/>
      <c r="E167" s="686">
        <v>0</v>
      </c>
      <c r="F167" s="697">
        <v>0</v>
      </c>
      <c r="G167" s="517">
        <f t="shared" si="6"/>
        <v>3</v>
      </c>
      <c r="H167" s="511"/>
      <c r="I167" s="520"/>
      <c r="J167" s="520"/>
      <c r="K167" s="520"/>
      <c r="L167" s="520"/>
      <c r="M167" s="520"/>
      <c r="N167" s="520">
        <v>3</v>
      </c>
      <c r="O167" s="520"/>
      <c r="P167" s="520"/>
      <c r="Q167" s="520"/>
      <c r="R167" s="520"/>
      <c r="S167" s="520"/>
    </row>
    <row r="168" spans="1:20" ht="23.45" customHeight="1" x14ac:dyDescent="0.25">
      <c r="A168" s="516"/>
      <c r="B168" s="760" t="s">
        <v>422</v>
      </c>
      <c r="C168" s="905"/>
      <c r="D168" s="874"/>
      <c r="E168" s="686">
        <v>26</v>
      </c>
      <c r="F168" s="697">
        <v>139</v>
      </c>
      <c r="G168" s="517">
        <f t="shared" si="6"/>
        <v>308</v>
      </c>
      <c r="H168" s="511">
        <v>18</v>
      </c>
      <c r="I168" s="520">
        <v>28</v>
      </c>
      <c r="J168" s="520">
        <v>33</v>
      </c>
      <c r="K168" s="520">
        <v>3</v>
      </c>
      <c r="L168" s="520">
        <v>42</v>
      </c>
      <c r="M168" s="520">
        <v>51</v>
      </c>
      <c r="N168" s="520">
        <v>3</v>
      </c>
      <c r="O168" s="520">
        <v>13</v>
      </c>
      <c r="P168" s="520">
        <v>18</v>
      </c>
      <c r="Q168" s="520">
        <v>15</v>
      </c>
      <c r="R168" s="520">
        <v>75</v>
      </c>
      <c r="S168" s="696">
        <v>9</v>
      </c>
    </row>
    <row r="169" spans="1:20" ht="23.45" customHeight="1" x14ac:dyDescent="0.25">
      <c r="A169" s="516"/>
      <c r="B169" s="760" t="s">
        <v>423</v>
      </c>
      <c r="C169" s="905"/>
      <c r="D169" s="874"/>
      <c r="E169" s="686">
        <v>463</v>
      </c>
      <c r="F169" s="697">
        <v>817</v>
      </c>
      <c r="G169" s="517">
        <f t="shared" si="6"/>
        <v>871</v>
      </c>
      <c r="H169" s="519">
        <v>17</v>
      </c>
      <c r="I169" s="520">
        <v>24</v>
      </c>
      <c r="J169" s="520">
        <v>115</v>
      </c>
      <c r="K169" s="520">
        <v>31</v>
      </c>
      <c r="L169" s="520">
        <v>0</v>
      </c>
      <c r="M169" s="520">
        <v>24</v>
      </c>
      <c r="N169" s="807">
        <v>0</v>
      </c>
      <c r="O169" s="520">
        <v>40</v>
      </c>
      <c r="P169" s="520">
        <v>39</v>
      </c>
      <c r="Q169" s="520">
        <v>165</v>
      </c>
      <c r="R169" s="520">
        <v>61</v>
      </c>
      <c r="S169" s="520">
        <v>355</v>
      </c>
    </row>
    <row r="170" spans="1:20" ht="23.45" customHeight="1" x14ac:dyDescent="0.25">
      <c r="A170" s="516"/>
      <c r="B170" s="760" t="s">
        <v>424</v>
      </c>
      <c r="C170" s="910"/>
      <c r="D170" s="873"/>
      <c r="E170" s="686">
        <v>807</v>
      </c>
      <c r="F170" s="697">
        <v>1000</v>
      </c>
      <c r="G170" s="517">
        <f t="shared" si="6"/>
        <v>1628</v>
      </c>
      <c r="H170" s="519">
        <v>132</v>
      </c>
      <c r="I170" s="520">
        <v>56</v>
      </c>
      <c r="J170" s="520">
        <v>102</v>
      </c>
      <c r="K170" s="520">
        <v>121</v>
      </c>
      <c r="L170" s="520">
        <v>84</v>
      </c>
      <c r="M170" s="520">
        <v>97</v>
      </c>
      <c r="N170" s="520">
        <v>184</v>
      </c>
      <c r="O170" s="520">
        <v>55</v>
      </c>
      <c r="P170" s="520">
        <v>176</v>
      </c>
      <c r="Q170" s="520">
        <v>328</v>
      </c>
      <c r="R170" s="520">
        <v>131</v>
      </c>
      <c r="S170" s="520">
        <v>162</v>
      </c>
    </row>
    <row r="171" spans="1:20" ht="23.45" customHeight="1" x14ac:dyDescent="0.25">
      <c r="A171" s="516"/>
      <c r="B171" s="1010" t="s">
        <v>425</v>
      </c>
      <c r="C171" s="906"/>
      <c r="D171" s="872"/>
      <c r="E171" s="686">
        <v>70</v>
      </c>
      <c r="F171" s="697">
        <v>471</v>
      </c>
      <c r="G171" s="530">
        <f t="shared" si="6"/>
        <v>165</v>
      </c>
      <c r="H171" s="524">
        <v>0</v>
      </c>
      <c r="I171" s="525">
        <v>2</v>
      </c>
      <c r="J171" s="525">
        <v>0</v>
      </c>
      <c r="K171" s="525">
        <v>0</v>
      </c>
      <c r="L171" s="525">
        <v>30</v>
      </c>
      <c r="M171" s="525">
        <v>0</v>
      </c>
      <c r="N171" s="525">
        <v>7</v>
      </c>
      <c r="O171" s="525">
        <v>41</v>
      </c>
      <c r="P171" s="525">
        <v>7</v>
      </c>
      <c r="Q171" s="525">
        <v>78</v>
      </c>
      <c r="R171" s="525">
        <v>0</v>
      </c>
      <c r="S171" s="525">
        <v>0</v>
      </c>
    </row>
    <row r="172" spans="1:20" s="655" customFormat="1" ht="15.95" customHeight="1" x14ac:dyDescent="0.25">
      <c r="A172" s="654"/>
      <c r="B172" s="1041" t="s">
        <v>267</v>
      </c>
      <c r="C172" s="1042"/>
      <c r="D172" s="1042"/>
      <c r="E172" s="1042"/>
      <c r="F172" s="1042"/>
      <c r="G172" s="1042"/>
      <c r="H172" s="1042"/>
      <c r="I172" s="1042"/>
      <c r="J172" s="1042"/>
      <c r="K172" s="1042"/>
      <c r="L172" s="1042"/>
      <c r="M172" s="1042"/>
      <c r="N172" s="1042"/>
      <c r="O172" s="1042"/>
      <c r="P172" s="1042"/>
      <c r="Q172" s="1042"/>
      <c r="R172" s="1042"/>
      <c r="S172" s="1043"/>
    </row>
    <row r="173" spans="1:20" ht="15" customHeight="1" x14ac:dyDescent="0.25">
      <c r="A173" s="516"/>
      <c r="B173" s="536" t="s">
        <v>274</v>
      </c>
      <c r="E173" s="923">
        <v>16799137.490000002</v>
      </c>
      <c r="F173" s="923">
        <v>15946063.390000001</v>
      </c>
      <c r="G173" s="591">
        <f>SUM(H173:S173)</f>
        <v>15420585.52</v>
      </c>
      <c r="H173" s="545">
        <v>1304901.6299999999</v>
      </c>
      <c r="I173" s="962">
        <v>1307957.68</v>
      </c>
      <c r="J173" s="1005">
        <v>1202014.32</v>
      </c>
      <c r="K173" s="963">
        <v>1262669.32</v>
      </c>
      <c r="L173" s="863">
        <v>1225616.1499999999</v>
      </c>
      <c r="M173" s="1008">
        <v>1253528.05</v>
      </c>
      <c r="N173" s="850">
        <v>1203292.82</v>
      </c>
      <c r="O173" s="600">
        <v>1135459.72</v>
      </c>
      <c r="P173" s="600">
        <v>1601009.27</v>
      </c>
      <c r="Q173" s="601">
        <v>1249143.4099999999</v>
      </c>
      <c r="R173" s="602">
        <v>1343984</v>
      </c>
      <c r="S173" s="603">
        <v>1331009.1499999999</v>
      </c>
    </row>
    <row r="174" spans="1:20" s="655" customFormat="1" ht="15.95" customHeight="1" x14ac:dyDescent="0.25">
      <c r="A174" s="654"/>
      <c r="B174" s="1044" t="s">
        <v>268</v>
      </c>
      <c r="C174" s="1045"/>
      <c r="D174" s="1045"/>
      <c r="E174" s="1045"/>
      <c r="F174" s="1045"/>
      <c r="G174" s="1045"/>
      <c r="H174" s="1045"/>
      <c r="I174" s="1045"/>
      <c r="J174" s="1045"/>
      <c r="K174" s="1045"/>
      <c r="L174" s="1045"/>
      <c r="M174" s="1045"/>
      <c r="N174" s="1045"/>
      <c r="O174" s="1045"/>
      <c r="P174" s="1045"/>
      <c r="Q174" s="1045"/>
      <c r="R174" s="1045"/>
      <c r="S174" s="1046"/>
    </row>
    <row r="175" spans="1:20" ht="20.25" customHeight="1" x14ac:dyDescent="0.25">
      <c r="A175" s="516"/>
      <c r="B175" s="536" t="s">
        <v>367</v>
      </c>
      <c r="E175" s="712"/>
      <c r="F175" s="698"/>
      <c r="G175" s="506"/>
      <c r="H175" s="677">
        <v>123796</v>
      </c>
      <c r="I175" s="678">
        <v>123820</v>
      </c>
      <c r="J175" s="678">
        <v>124052</v>
      </c>
      <c r="K175" s="678">
        <v>124072</v>
      </c>
      <c r="L175" s="678">
        <v>124218</v>
      </c>
      <c r="M175" s="998">
        <v>124407</v>
      </c>
      <c r="N175" s="678">
        <v>124484</v>
      </c>
      <c r="O175" s="678">
        <v>124665</v>
      </c>
      <c r="P175" s="678">
        <v>124693</v>
      </c>
      <c r="Q175" s="678">
        <v>124783</v>
      </c>
      <c r="R175" s="679">
        <v>124944</v>
      </c>
      <c r="S175" s="949">
        <v>125152</v>
      </c>
    </row>
    <row r="176" spans="1:20" ht="23.25" customHeight="1" x14ac:dyDescent="0.2">
      <c r="A176" s="751"/>
      <c r="B176" s="752" t="s">
        <v>407</v>
      </c>
      <c r="C176" s="919"/>
      <c r="D176" s="882"/>
      <c r="E176" s="713"/>
      <c r="F176" s="699"/>
      <c r="G176" s="714"/>
      <c r="H176" s="826">
        <f>H175/T176</f>
        <v>0.37974582588183325</v>
      </c>
      <c r="I176" s="826">
        <f>I175/T176</f>
        <v>0.3798194461912226</v>
      </c>
      <c r="J176" s="826">
        <f>J175/T176</f>
        <v>0.38053110918198635</v>
      </c>
      <c r="K176" s="826">
        <f>K175/T176</f>
        <v>0.38059245943981079</v>
      </c>
      <c r="L176" s="826">
        <f>L175/T176</f>
        <v>0.38104031632192936</v>
      </c>
      <c r="M176" s="826">
        <f>M175/T176</f>
        <v>0.38162007625837047</v>
      </c>
      <c r="N176" s="826">
        <f>N175/T176</f>
        <v>0.38185627475099465</v>
      </c>
      <c r="O176" s="826">
        <f>O175/T176</f>
        <v>0.38241149458430601</v>
      </c>
      <c r="P176" s="826">
        <f>P175/T176</f>
        <v>0.38249738494526025</v>
      </c>
      <c r="Q176" s="826">
        <f>Q175/T176</f>
        <v>0.38277346110547028</v>
      </c>
      <c r="R176" s="826">
        <f>R175/T176</f>
        <v>0.3832673306809572</v>
      </c>
      <c r="S176" s="826">
        <f>S175/T176</f>
        <v>0.38390537336233155</v>
      </c>
      <c r="T176" s="951">
        <v>325997</v>
      </c>
    </row>
    <row r="178" spans="2:19" ht="15" hidden="1" customHeight="1" x14ac:dyDescent="0.25">
      <c r="B178" s="604" t="s">
        <v>200</v>
      </c>
      <c r="C178" s="605"/>
      <c r="D178" s="883"/>
      <c r="E178" s="605"/>
      <c r="F178" s="605"/>
      <c r="G178" s="605"/>
      <c r="H178" s="605"/>
      <c r="I178" s="605"/>
      <c r="J178" s="605"/>
      <c r="K178" s="605"/>
      <c r="L178" s="605"/>
      <c r="M178" s="986"/>
      <c r="N178" s="605"/>
      <c r="O178" s="605"/>
      <c r="P178" s="605"/>
      <c r="Q178" s="605"/>
      <c r="R178" s="605"/>
      <c r="S178" s="606"/>
    </row>
    <row r="179" spans="2:19" hidden="1" x14ac:dyDescent="0.25">
      <c r="B179" s="753" t="s">
        <v>174</v>
      </c>
      <c r="C179" s="754"/>
      <c r="D179" s="884"/>
      <c r="E179" s="754"/>
      <c r="F179" s="754"/>
      <c r="G179" s="754"/>
      <c r="H179" s="754"/>
      <c r="I179" s="754"/>
      <c r="J179" s="754"/>
      <c r="K179" s="754"/>
      <c r="L179" s="754"/>
      <c r="M179" s="987"/>
      <c r="N179" s="754"/>
      <c r="O179" s="754"/>
      <c r="P179" s="754"/>
      <c r="Q179" s="754"/>
      <c r="R179" s="754"/>
      <c r="S179" s="755"/>
    </row>
    <row r="180" spans="2:19" ht="15" hidden="1" customHeight="1" x14ac:dyDescent="0.25">
      <c r="B180" s="756" t="s">
        <v>181</v>
      </c>
      <c r="C180" s="920"/>
      <c r="D180" s="885"/>
      <c r="E180" s="757"/>
      <c r="F180" s="757"/>
      <c r="G180" s="757"/>
      <c r="H180" s="757"/>
      <c r="I180" s="757"/>
      <c r="J180" s="757"/>
      <c r="K180" s="757"/>
      <c r="L180" s="757"/>
      <c r="M180" s="988"/>
      <c r="N180" s="757"/>
      <c r="O180" s="757"/>
      <c r="P180" s="757"/>
      <c r="Q180" s="757"/>
      <c r="R180" s="757"/>
      <c r="S180" s="758"/>
    </row>
    <row r="181" spans="2:19" ht="15" hidden="1" customHeight="1" x14ac:dyDescent="0.25">
      <c r="B181" s="509" t="s">
        <v>4</v>
      </c>
      <c r="C181" s="750"/>
      <c r="E181" s="607"/>
      <c r="F181" s="608" t="s">
        <v>214</v>
      </c>
      <c r="G181" s="609" t="e">
        <f>AVERAGE(H181:S181)</f>
        <v>#DIV/0!</v>
      </c>
      <c r="H181" s="511"/>
      <c r="I181" s="512"/>
      <c r="J181" s="512"/>
      <c r="K181" s="512"/>
      <c r="L181" s="512"/>
      <c r="M181" s="850"/>
      <c r="N181" s="512"/>
      <c r="O181" s="610"/>
      <c r="P181" s="610"/>
      <c r="Q181" s="610"/>
      <c r="R181" s="610"/>
      <c r="S181" s="611"/>
    </row>
    <row r="182" spans="2:19" ht="15" hidden="1" customHeight="1" x14ac:dyDescent="0.25">
      <c r="B182" s="522" t="s">
        <v>177</v>
      </c>
      <c r="C182" s="750"/>
      <c r="E182" s="607"/>
      <c r="F182" s="612" t="s">
        <v>215</v>
      </c>
      <c r="G182" s="613" t="e">
        <f>AVERAGE(H182:S182)</f>
        <v>#DIV/0!</v>
      </c>
      <c r="H182" s="614"/>
      <c r="I182" s="614"/>
      <c r="J182" s="614"/>
      <c r="K182" s="614"/>
      <c r="L182" s="614"/>
      <c r="M182" s="989"/>
      <c r="N182" s="614"/>
      <c r="O182" s="615"/>
      <c r="P182" s="615"/>
      <c r="Q182" s="615"/>
      <c r="R182" s="615"/>
      <c r="S182" s="616"/>
    </row>
    <row r="183" spans="2:19" ht="15" hidden="1" customHeight="1" x14ac:dyDescent="0.25">
      <c r="B183" s="522" t="s">
        <v>180</v>
      </c>
      <c r="C183" s="750"/>
      <c r="E183" s="607"/>
      <c r="F183" s="612" t="s">
        <v>216</v>
      </c>
      <c r="G183" s="613" t="e">
        <f t="shared" ref="G183:S183" si="7">((ROUND(G181/G182,0)&amp;" : "&amp;"1"))</f>
        <v>#DIV/0!</v>
      </c>
      <c r="H183" s="614" t="e">
        <f t="shared" si="7"/>
        <v>#DIV/0!</v>
      </c>
      <c r="I183" s="614" t="e">
        <f t="shared" si="7"/>
        <v>#DIV/0!</v>
      </c>
      <c r="J183" s="614" t="e">
        <f t="shared" si="7"/>
        <v>#DIV/0!</v>
      </c>
      <c r="K183" s="614" t="e">
        <f t="shared" si="7"/>
        <v>#DIV/0!</v>
      </c>
      <c r="L183" s="614" t="e">
        <f t="shared" si="7"/>
        <v>#DIV/0!</v>
      </c>
      <c r="M183" s="989" t="e">
        <f t="shared" si="7"/>
        <v>#DIV/0!</v>
      </c>
      <c r="N183" s="614" t="e">
        <f t="shared" si="7"/>
        <v>#DIV/0!</v>
      </c>
      <c r="O183" s="614" t="e">
        <f t="shared" si="7"/>
        <v>#DIV/0!</v>
      </c>
      <c r="P183" s="614" t="e">
        <f t="shared" si="7"/>
        <v>#DIV/0!</v>
      </c>
      <c r="Q183" s="614" t="e">
        <f t="shared" si="7"/>
        <v>#DIV/0!</v>
      </c>
      <c r="R183" s="614" t="e">
        <f t="shared" si="7"/>
        <v>#DIV/0!</v>
      </c>
      <c r="S183" s="616" t="e">
        <f t="shared" si="7"/>
        <v>#DIV/0!</v>
      </c>
    </row>
    <row r="184" spans="2:19" ht="15" hidden="1" customHeight="1" x14ac:dyDescent="0.25">
      <c r="B184" s="514" t="s">
        <v>179</v>
      </c>
      <c r="C184" s="750"/>
      <c r="E184" s="607"/>
      <c r="F184" s="617" t="s">
        <v>184</v>
      </c>
      <c r="G184" s="618" t="s">
        <v>184</v>
      </c>
      <c r="H184" s="619" t="s">
        <v>184</v>
      </c>
      <c r="I184" s="619" t="s">
        <v>184</v>
      </c>
      <c r="J184" s="619" t="s">
        <v>184</v>
      </c>
      <c r="K184" s="619" t="s">
        <v>184</v>
      </c>
      <c r="L184" s="619" t="s">
        <v>184</v>
      </c>
      <c r="M184" s="990" t="s">
        <v>184</v>
      </c>
      <c r="N184" s="619" t="s">
        <v>184</v>
      </c>
      <c r="O184" s="619" t="s">
        <v>184</v>
      </c>
      <c r="P184" s="619" t="s">
        <v>184</v>
      </c>
      <c r="Q184" s="619" t="s">
        <v>184</v>
      </c>
      <c r="R184" s="619" t="s">
        <v>184</v>
      </c>
      <c r="S184" s="620" t="s">
        <v>184</v>
      </c>
    </row>
    <row r="185" spans="2:19" ht="15" hidden="1" customHeight="1" x14ac:dyDescent="0.25">
      <c r="B185" s="756" t="s">
        <v>191</v>
      </c>
      <c r="C185" s="920"/>
      <c r="D185" s="885"/>
      <c r="E185" s="621"/>
      <c r="F185" s="622"/>
      <c r="G185" s="622"/>
      <c r="H185" s="622"/>
      <c r="I185" s="622"/>
      <c r="J185" s="622"/>
      <c r="K185" s="622"/>
      <c r="L185" s="622"/>
      <c r="M185" s="991"/>
      <c r="N185" s="622"/>
      <c r="O185" s="622"/>
      <c r="P185" s="622"/>
      <c r="Q185" s="622"/>
      <c r="R185" s="622"/>
      <c r="S185" s="623"/>
    </row>
    <row r="186" spans="2:19" ht="15" hidden="1" customHeight="1" x14ac:dyDescent="0.25">
      <c r="B186" s="509" t="s">
        <v>178</v>
      </c>
      <c r="C186" s="750"/>
      <c r="E186" s="607"/>
      <c r="F186" s="608" t="s">
        <v>217</v>
      </c>
      <c r="G186" s="624" t="e">
        <f>AVERAGE(H186:S186)</f>
        <v>#DIV/0!</v>
      </c>
      <c r="H186" s="625"/>
      <c r="I186" s="625"/>
      <c r="J186" s="625"/>
      <c r="K186" s="625"/>
      <c r="L186" s="625"/>
      <c r="M186" s="992"/>
      <c r="N186" s="625"/>
      <c r="O186" s="625"/>
      <c r="P186" s="625"/>
      <c r="Q186" s="610"/>
      <c r="R186" s="610"/>
      <c r="S186" s="611"/>
    </row>
    <row r="187" spans="2:19" ht="15" hidden="1" customHeight="1" x14ac:dyDescent="0.25">
      <c r="B187" s="522" t="s">
        <v>177</v>
      </c>
      <c r="C187" s="750"/>
      <c r="E187" s="607"/>
      <c r="F187" s="612" t="s">
        <v>218</v>
      </c>
      <c r="G187" s="626" t="e">
        <f>AVERAGE(H187:S187)</f>
        <v>#DIV/0!</v>
      </c>
      <c r="H187" s="627"/>
      <c r="I187" s="627"/>
      <c r="J187" s="627"/>
      <c r="K187" s="627"/>
      <c r="L187" s="627"/>
      <c r="M187" s="993"/>
      <c r="N187" s="627"/>
      <c r="O187" s="627"/>
      <c r="P187" s="627"/>
      <c r="Q187" s="615"/>
      <c r="R187" s="615"/>
      <c r="S187" s="616"/>
    </row>
    <row r="188" spans="2:19" ht="15" hidden="1" customHeight="1" x14ac:dyDescent="0.25">
      <c r="B188" s="522" t="s">
        <v>180</v>
      </c>
      <c r="C188" s="750"/>
      <c r="E188" s="607"/>
      <c r="F188" s="612" t="s">
        <v>219</v>
      </c>
      <c r="G188" s="626" t="e">
        <f>((ROUND(G186/G187,0)&amp;" : "&amp;"1"))</f>
        <v>#DIV/0!</v>
      </c>
      <c r="H188" s="627" t="s">
        <v>136</v>
      </c>
      <c r="I188" s="627" t="s">
        <v>136</v>
      </c>
      <c r="J188" s="615" t="e">
        <f t="shared" ref="J188:S188" si="8">((ROUND(J186/J187,0)&amp;" : "&amp;"1"))</f>
        <v>#DIV/0!</v>
      </c>
      <c r="K188" s="615" t="e">
        <f t="shared" si="8"/>
        <v>#DIV/0!</v>
      </c>
      <c r="L188" s="615" t="e">
        <f t="shared" si="8"/>
        <v>#DIV/0!</v>
      </c>
      <c r="M188" s="975" t="e">
        <f t="shared" si="8"/>
        <v>#DIV/0!</v>
      </c>
      <c r="N188" s="615" t="e">
        <f t="shared" si="8"/>
        <v>#DIV/0!</v>
      </c>
      <c r="O188" s="615" t="e">
        <f t="shared" si="8"/>
        <v>#DIV/0!</v>
      </c>
      <c r="P188" s="615" t="e">
        <f t="shared" si="8"/>
        <v>#DIV/0!</v>
      </c>
      <c r="Q188" s="615" t="e">
        <f t="shared" si="8"/>
        <v>#DIV/0!</v>
      </c>
      <c r="R188" s="615" t="e">
        <f t="shared" si="8"/>
        <v>#DIV/0!</v>
      </c>
      <c r="S188" s="616" t="e">
        <f t="shared" si="8"/>
        <v>#DIV/0!</v>
      </c>
    </row>
    <row r="189" spans="2:19" ht="15" hidden="1" customHeight="1" x14ac:dyDescent="0.25">
      <c r="B189" s="514" t="s">
        <v>179</v>
      </c>
      <c r="C189" s="750"/>
      <c r="E189" s="607"/>
      <c r="F189" s="617" t="s">
        <v>185</v>
      </c>
      <c r="G189" s="618" t="s">
        <v>185</v>
      </c>
      <c r="H189" s="619" t="s">
        <v>185</v>
      </c>
      <c r="I189" s="619" t="s">
        <v>185</v>
      </c>
      <c r="J189" s="628" t="s">
        <v>185</v>
      </c>
      <c r="K189" s="628" t="s">
        <v>185</v>
      </c>
      <c r="L189" s="628" t="s">
        <v>185</v>
      </c>
      <c r="M189" s="551" t="s">
        <v>185</v>
      </c>
      <c r="N189" s="628" t="s">
        <v>185</v>
      </c>
      <c r="O189" s="628" t="s">
        <v>185</v>
      </c>
      <c r="P189" s="628" t="s">
        <v>185</v>
      </c>
      <c r="Q189" s="628" t="s">
        <v>185</v>
      </c>
      <c r="R189" s="628" t="s">
        <v>185</v>
      </c>
      <c r="S189" s="620" t="s">
        <v>185</v>
      </c>
    </row>
    <row r="190" spans="2:19" ht="15" hidden="1" customHeight="1" x14ac:dyDescent="0.25">
      <c r="B190" s="756" t="s">
        <v>182</v>
      </c>
      <c r="C190" s="920"/>
      <c r="D190" s="885"/>
      <c r="E190" s="621"/>
      <c r="F190" s="622"/>
      <c r="G190" s="622"/>
      <c r="H190" s="622"/>
      <c r="I190" s="622"/>
      <c r="J190" s="622"/>
      <c r="K190" s="622"/>
      <c r="L190" s="622"/>
      <c r="M190" s="991"/>
      <c r="N190" s="622"/>
      <c r="O190" s="622"/>
      <c r="P190" s="622"/>
      <c r="Q190" s="622"/>
      <c r="R190" s="622"/>
      <c r="S190" s="623"/>
    </row>
    <row r="191" spans="2:19" ht="15" hidden="1" customHeight="1" x14ac:dyDescent="0.25">
      <c r="B191" s="509" t="s">
        <v>178</v>
      </c>
      <c r="C191" s="750"/>
      <c r="E191" s="607"/>
      <c r="F191" s="608" t="s">
        <v>220</v>
      </c>
      <c r="G191" s="609" t="e">
        <f>AVERAGE(H191:S191)</f>
        <v>#DIV/0!</v>
      </c>
      <c r="H191" s="629"/>
      <c r="I191" s="512"/>
      <c r="J191" s="512"/>
      <c r="K191" s="512"/>
      <c r="L191" s="512"/>
      <c r="M191" s="850"/>
      <c r="N191" s="512"/>
      <c r="O191" s="610"/>
      <c r="P191" s="610"/>
      <c r="Q191" s="610"/>
      <c r="R191" s="610"/>
      <c r="S191" s="611"/>
    </row>
    <row r="192" spans="2:19" ht="15" hidden="1" customHeight="1" x14ac:dyDescent="0.25">
      <c r="B192" s="522" t="s">
        <v>177</v>
      </c>
      <c r="C192" s="750"/>
      <c r="E192" s="607"/>
      <c r="F192" s="612" t="s">
        <v>221</v>
      </c>
      <c r="G192" s="613" t="e">
        <f>AVERAGE(H192:S192)</f>
        <v>#DIV/0!</v>
      </c>
      <c r="H192" s="630"/>
      <c r="I192" s="520"/>
      <c r="J192" s="615"/>
      <c r="K192" s="520"/>
      <c r="L192" s="520"/>
      <c r="M192" s="975"/>
      <c r="N192" s="520"/>
      <c r="O192" s="615"/>
      <c r="P192" s="615"/>
      <c r="Q192" s="615"/>
      <c r="R192" s="615"/>
      <c r="S192" s="616"/>
    </row>
    <row r="193" spans="2:19" ht="15" hidden="1" customHeight="1" x14ac:dyDescent="0.25">
      <c r="B193" s="522" t="s">
        <v>180</v>
      </c>
      <c r="C193" s="750"/>
      <c r="E193" s="607"/>
      <c r="F193" s="612" t="s">
        <v>222</v>
      </c>
      <c r="G193" s="613" t="e">
        <f t="shared" ref="G193:S193" si="9">((ROUND(G191/G192,0)&amp;" : "&amp;"1"))</f>
        <v>#DIV/0!</v>
      </c>
      <c r="H193" s="614" t="e">
        <f t="shared" si="9"/>
        <v>#DIV/0!</v>
      </c>
      <c r="I193" s="614" t="e">
        <f t="shared" si="9"/>
        <v>#DIV/0!</v>
      </c>
      <c r="J193" s="614" t="e">
        <f t="shared" si="9"/>
        <v>#DIV/0!</v>
      </c>
      <c r="K193" s="614" t="e">
        <f t="shared" si="9"/>
        <v>#DIV/0!</v>
      </c>
      <c r="L193" s="614" t="e">
        <f t="shared" si="9"/>
        <v>#DIV/0!</v>
      </c>
      <c r="M193" s="989" t="e">
        <f t="shared" si="9"/>
        <v>#DIV/0!</v>
      </c>
      <c r="N193" s="614" t="e">
        <f t="shared" si="9"/>
        <v>#DIV/0!</v>
      </c>
      <c r="O193" s="614" t="e">
        <f t="shared" si="9"/>
        <v>#DIV/0!</v>
      </c>
      <c r="P193" s="614" t="e">
        <f t="shared" si="9"/>
        <v>#DIV/0!</v>
      </c>
      <c r="Q193" s="614" t="e">
        <f t="shared" si="9"/>
        <v>#DIV/0!</v>
      </c>
      <c r="R193" s="614" t="e">
        <f t="shared" si="9"/>
        <v>#DIV/0!</v>
      </c>
      <c r="S193" s="631" t="e">
        <f t="shared" si="9"/>
        <v>#DIV/0!</v>
      </c>
    </row>
    <row r="194" spans="2:19" ht="15" hidden="1" customHeight="1" x14ac:dyDescent="0.25">
      <c r="B194" s="514" t="s">
        <v>179</v>
      </c>
      <c r="C194" s="750"/>
      <c r="E194" s="607"/>
      <c r="F194" s="617" t="s">
        <v>185</v>
      </c>
      <c r="G194" s="618" t="s">
        <v>185</v>
      </c>
      <c r="H194" s="619" t="s">
        <v>185</v>
      </c>
      <c r="I194" s="619" t="s">
        <v>185</v>
      </c>
      <c r="J194" s="619" t="s">
        <v>185</v>
      </c>
      <c r="K194" s="619" t="s">
        <v>185</v>
      </c>
      <c r="L194" s="619" t="s">
        <v>185</v>
      </c>
      <c r="M194" s="990" t="s">
        <v>185</v>
      </c>
      <c r="N194" s="619" t="s">
        <v>185</v>
      </c>
      <c r="O194" s="619" t="s">
        <v>185</v>
      </c>
      <c r="P194" s="619" t="s">
        <v>185</v>
      </c>
      <c r="Q194" s="619" t="s">
        <v>185</v>
      </c>
      <c r="R194" s="619" t="s">
        <v>185</v>
      </c>
      <c r="S194" s="632" t="s">
        <v>185</v>
      </c>
    </row>
    <row r="195" spans="2:19" hidden="1" x14ac:dyDescent="0.25">
      <c r="B195" s="753" t="s">
        <v>183</v>
      </c>
      <c r="C195" s="754"/>
      <c r="D195" s="884"/>
      <c r="E195" s="633"/>
      <c r="F195" s="634"/>
      <c r="G195" s="634"/>
      <c r="H195" s="634"/>
      <c r="I195" s="634"/>
      <c r="J195" s="634"/>
      <c r="K195" s="634"/>
      <c r="L195" s="634"/>
      <c r="M195" s="994"/>
      <c r="N195" s="634"/>
      <c r="O195" s="634"/>
      <c r="P195" s="634"/>
      <c r="Q195" s="634"/>
      <c r="R195" s="634"/>
      <c r="S195" s="635"/>
    </row>
    <row r="196" spans="2:19" ht="15" hidden="1" customHeight="1" x14ac:dyDescent="0.25">
      <c r="B196" s="756" t="s">
        <v>175</v>
      </c>
      <c r="C196" s="920"/>
      <c r="D196" s="885"/>
      <c r="E196" s="621"/>
      <c r="F196" s="622"/>
      <c r="G196" s="622"/>
      <c r="H196" s="622"/>
      <c r="I196" s="622"/>
      <c r="J196" s="622"/>
      <c r="K196" s="622"/>
      <c r="L196" s="622"/>
      <c r="M196" s="991"/>
      <c r="N196" s="622"/>
      <c r="O196" s="622"/>
      <c r="P196" s="622"/>
      <c r="Q196" s="622"/>
      <c r="R196" s="622"/>
      <c r="S196" s="623"/>
    </row>
    <row r="197" spans="2:19" ht="15" hidden="1" customHeight="1" x14ac:dyDescent="0.25">
      <c r="B197" s="509" t="s">
        <v>178</v>
      </c>
      <c r="C197" s="750"/>
      <c r="E197" s="607"/>
      <c r="F197" s="608" t="s">
        <v>223</v>
      </c>
      <c r="G197" s="609" t="e">
        <f>AVERAGE(H197:S197)</f>
        <v>#DIV/0!</v>
      </c>
      <c r="H197" s="629"/>
      <c r="I197" s="512"/>
      <c r="J197" s="512"/>
      <c r="K197" s="512"/>
      <c r="L197" s="512"/>
      <c r="M197" s="850"/>
      <c r="N197" s="512"/>
      <c r="O197" s="610"/>
      <c r="P197" s="610"/>
      <c r="Q197" s="610"/>
      <c r="R197" s="610"/>
      <c r="S197" s="611"/>
    </row>
    <row r="198" spans="2:19" ht="15" hidden="1" customHeight="1" x14ac:dyDescent="0.25">
      <c r="B198" s="522" t="s">
        <v>177</v>
      </c>
      <c r="C198" s="750"/>
      <c r="E198" s="607"/>
      <c r="F198" s="612" t="s">
        <v>224</v>
      </c>
      <c r="G198" s="613" t="e">
        <f>AVERAGE(H198:S198)</f>
        <v>#DIV/0!</v>
      </c>
      <c r="H198" s="614"/>
      <c r="I198" s="615"/>
      <c r="J198" s="615"/>
      <c r="K198" s="615"/>
      <c r="L198" s="615"/>
      <c r="M198" s="975"/>
      <c r="N198" s="615"/>
      <c r="O198" s="615"/>
      <c r="P198" s="615"/>
      <c r="Q198" s="615"/>
      <c r="R198" s="615"/>
      <c r="S198" s="616"/>
    </row>
    <row r="199" spans="2:19" ht="15" hidden="1" customHeight="1" x14ac:dyDescent="0.25">
      <c r="B199" s="522" t="s">
        <v>180</v>
      </c>
      <c r="C199" s="750"/>
      <c r="E199" s="607"/>
      <c r="F199" s="612" t="s">
        <v>225</v>
      </c>
      <c r="G199" s="613" t="e">
        <f t="shared" ref="G199:S199" si="10">((ROUND(G197/G198,0)&amp;" : "&amp;"1"))</f>
        <v>#DIV/0!</v>
      </c>
      <c r="H199" s="614" t="e">
        <f t="shared" si="10"/>
        <v>#DIV/0!</v>
      </c>
      <c r="I199" s="614" t="e">
        <f t="shared" si="10"/>
        <v>#DIV/0!</v>
      </c>
      <c r="J199" s="614" t="e">
        <f t="shared" si="10"/>
        <v>#DIV/0!</v>
      </c>
      <c r="K199" s="614" t="e">
        <f t="shared" si="10"/>
        <v>#DIV/0!</v>
      </c>
      <c r="L199" s="614" t="e">
        <f t="shared" si="10"/>
        <v>#DIV/0!</v>
      </c>
      <c r="M199" s="989" t="e">
        <f t="shared" si="10"/>
        <v>#DIV/0!</v>
      </c>
      <c r="N199" s="614" t="e">
        <f t="shared" si="10"/>
        <v>#DIV/0!</v>
      </c>
      <c r="O199" s="614" t="e">
        <f t="shared" si="10"/>
        <v>#DIV/0!</v>
      </c>
      <c r="P199" s="614" t="e">
        <f t="shared" si="10"/>
        <v>#DIV/0!</v>
      </c>
      <c r="Q199" s="614" t="e">
        <f t="shared" si="10"/>
        <v>#DIV/0!</v>
      </c>
      <c r="R199" s="614" t="e">
        <f t="shared" si="10"/>
        <v>#DIV/0!</v>
      </c>
      <c r="S199" s="631" t="e">
        <f t="shared" si="10"/>
        <v>#DIV/0!</v>
      </c>
    </row>
    <row r="200" spans="2:19" ht="15" hidden="1" customHeight="1" x14ac:dyDescent="0.25">
      <c r="B200" s="514" t="s">
        <v>179</v>
      </c>
      <c r="C200" s="750"/>
      <c r="E200" s="607"/>
      <c r="F200" s="617" t="s">
        <v>186</v>
      </c>
      <c r="G200" s="618" t="s">
        <v>186</v>
      </c>
      <c r="H200" s="619" t="s">
        <v>186</v>
      </c>
      <c r="I200" s="619" t="s">
        <v>186</v>
      </c>
      <c r="J200" s="619" t="s">
        <v>186</v>
      </c>
      <c r="K200" s="619" t="s">
        <v>186</v>
      </c>
      <c r="L200" s="619" t="s">
        <v>186</v>
      </c>
      <c r="M200" s="990" t="s">
        <v>186</v>
      </c>
      <c r="N200" s="619" t="s">
        <v>186</v>
      </c>
      <c r="O200" s="619" t="s">
        <v>186</v>
      </c>
      <c r="P200" s="619" t="s">
        <v>186</v>
      </c>
      <c r="Q200" s="619" t="s">
        <v>186</v>
      </c>
      <c r="R200" s="619" t="s">
        <v>186</v>
      </c>
      <c r="S200" s="632" t="s">
        <v>186</v>
      </c>
    </row>
    <row r="201" spans="2:19" ht="15" hidden="1" customHeight="1" x14ac:dyDescent="0.25">
      <c r="B201" s="756" t="s">
        <v>176</v>
      </c>
      <c r="C201" s="920"/>
      <c r="D201" s="885"/>
      <c r="E201" s="621"/>
      <c r="F201" s="622"/>
      <c r="G201" s="622"/>
      <c r="H201" s="622"/>
      <c r="I201" s="622"/>
      <c r="J201" s="622"/>
      <c r="K201" s="622"/>
      <c r="L201" s="622"/>
      <c r="M201" s="991"/>
      <c r="N201" s="622"/>
      <c r="O201" s="622"/>
      <c r="P201" s="622"/>
      <c r="Q201" s="622"/>
      <c r="R201" s="622"/>
      <c r="S201" s="623"/>
    </row>
    <row r="202" spans="2:19" ht="15" hidden="1" customHeight="1" x14ac:dyDescent="0.25">
      <c r="B202" s="509" t="s">
        <v>178</v>
      </c>
      <c r="C202" s="750"/>
      <c r="E202" s="607"/>
      <c r="F202" s="608" t="s">
        <v>226</v>
      </c>
      <c r="G202" s="609" t="e">
        <f>AVERAGE(H202:S202)</f>
        <v>#DIV/0!</v>
      </c>
      <c r="H202" s="636"/>
      <c r="I202" s="610"/>
      <c r="J202" s="610"/>
      <c r="K202" s="610"/>
      <c r="L202" s="610"/>
      <c r="M202" s="850"/>
      <c r="N202" s="610"/>
      <c r="O202" s="610"/>
      <c r="P202" s="610"/>
      <c r="Q202" s="610"/>
      <c r="R202" s="610"/>
      <c r="S202" s="611"/>
    </row>
    <row r="203" spans="2:19" ht="15" hidden="1" customHeight="1" x14ac:dyDescent="0.25">
      <c r="B203" s="522" t="s">
        <v>177</v>
      </c>
      <c r="C203" s="750"/>
      <c r="E203" s="607"/>
      <c r="F203" s="612" t="s">
        <v>227</v>
      </c>
      <c r="G203" s="613" t="e">
        <f>AVERAGE(H203:S203)</f>
        <v>#DIV/0!</v>
      </c>
      <c r="H203" s="614"/>
      <c r="I203" s="615"/>
      <c r="J203" s="615"/>
      <c r="K203" s="615"/>
      <c r="L203" s="615"/>
      <c r="M203" s="975"/>
      <c r="N203" s="615"/>
      <c r="O203" s="615"/>
      <c r="P203" s="615"/>
      <c r="Q203" s="615"/>
      <c r="R203" s="615"/>
      <c r="S203" s="616"/>
    </row>
    <row r="204" spans="2:19" ht="15" hidden="1" customHeight="1" x14ac:dyDescent="0.25">
      <c r="B204" s="522" t="s">
        <v>180</v>
      </c>
      <c r="C204" s="750"/>
      <c r="E204" s="607"/>
      <c r="F204" s="612" t="s">
        <v>222</v>
      </c>
      <c r="G204" s="613" t="e">
        <f t="shared" ref="G204:S204" si="11">((ROUND(G202/G203,0)&amp;" : "&amp;"1"))</f>
        <v>#DIV/0!</v>
      </c>
      <c r="H204" s="614" t="e">
        <f t="shared" si="11"/>
        <v>#DIV/0!</v>
      </c>
      <c r="I204" s="614" t="e">
        <f t="shared" si="11"/>
        <v>#DIV/0!</v>
      </c>
      <c r="J204" s="614" t="e">
        <f t="shared" si="11"/>
        <v>#DIV/0!</v>
      </c>
      <c r="K204" s="614" t="e">
        <f t="shared" si="11"/>
        <v>#DIV/0!</v>
      </c>
      <c r="L204" s="614" t="e">
        <f t="shared" si="11"/>
        <v>#DIV/0!</v>
      </c>
      <c r="M204" s="989" t="e">
        <f t="shared" si="11"/>
        <v>#DIV/0!</v>
      </c>
      <c r="N204" s="614" t="e">
        <f t="shared" si="11"/>
        <v>#DIV/0!</v>
      </c>
      <c r="O204" s="614" t="e">
        <f t="shared" si="11"/>
        <v>#DIV/0!</v>
      </c>
      <c r="P204" s="614" t="e">
        <f t="shared" si="11"/>
        <v>#DIV/0!</v>
      </c>
      <c r="Q204" s="614" t="e">
        <f t="shared" si="11"/>
        <v>#DIV/0!</v>
      </c>
      <c r="R204" s="614" t="e">
        <f t="shared" si="11"/>
        <v>#DIV/0!</v>
      </c>
      <c r="S204" s="631" t="e">
        <f t="shared" si="11"/>
        <v>#DIV/0!</v>
      </c>
    </row>
    <row r="205" spans="2:19" ht="15" hidden="1" customHeight="1" x14ac:dyDescent="0.25">
      <c r="B205" s="759" t="s">
        <v>179</v>
      </c>
      <c r="C205" s="914"/>
      <c r="D205" s="880"/>
      <c r="E205" s="637"/>
      <c r="F205" s="638" t="s">
        <v>186</v>
      </c>
      <c r="G205" s="639" t="s">
        <v>186</v>
      </c>
      <c r="H205" s="640" t="s">
        <v>186</v>
      </c>
      <c r="I205" s="640" t="s">
        <v>186</v>
      </c>
      <c r="J205" s="640" t="s">
        <v>186</v>
      </c>
      <c r="K205" s="640" t="s">
        <v>186</v>
      </c>
      <c r="L205" s="640" t="s">
        <v>186</v>
      </c>
      <c r="M205" s="995" t="s">
        <v>186</v>
      </c>
      <c r="N205" s="640" t="s">
        <v>186</v>
      </c>
      <c r="O205" s="640" t="s">
        <v>186</v>
      </c>
      <c r="P205" s="640" t="s">
        <v>186</v>
      </c>
      <c r="Q205" s="640" t="s">
        <v>186</v>
      </c>
      <c r="R205" s="640" t="s">
        <v>186</v>
      </c>
      <c r="S205" s="641" t="s">
        <v>186</v>
      </c>
    </row>
    <row r="206" spans="2:19" hidden="1" x14ac:dyDescent="0.25">
      <c r="B206" s="753" t="s">
        <v>43</v>
      </c>
      <c r="C206" s="754"/>
      <c r="D206" s="884"/>
      <c r="E206" s="633"/>
      <c r="F206" s="634"/>
      <c r="G206" s="633"/>
      <c r="H206" s="633"/>
      <c r="I206" s="633"/>
      <c r="J206" s="633"/>
      <c r="K206" s="633"/>
      <c r="L206" s="633"/>
      <c r="M206" s="996"/>
      <c r="N206" s="633"/>
      <c r="O206" s="633"/>
      <c r="P206" s="633"/>
      <c r="Q206" s="633"/>
      <c r="R206" s="633"/>
      <c r="S206" s="642"/>
    </row>
    <row r="207" spans="2:19" ht="15" hidden="1" customHeight="1" x14ac:dyDescent="0.25">
      <c r="B207" s="756" t="s">
        <v>44</v>
      </c>
      <c r="C207" s="920"/>
      <c r="D207" s="885"/>
      <c r="E207" s="621"/>
      <c r="F207" s="622"/>
      <c r="G207" s="621"/>
      <c r="H207" s="621"/>
      <c r="I207" s="621"/>
      <c r="J207" s="621"/>
      <c r="K207" s="621"/>
      <c r="L207" s="621"/>
      <c r="M207" s="997"/>
      <c r="N207" s="621"/>
      <c r="O207" s="621"/>
      <c r="P207" s="621"/>
      <c r="Q207" s="621"/>
      <c r="R207" s="621"/>
      <c r="S207" s="643"/>
    </row>
    <row r="208" spans="2:19" ht="15" hidden="1" customHeight="1" x14ac:dyDescent="0.25">
      <c r="B208" s="509" t="s">
        <v>178</v>
      </c>
      <c r="C208" s="750"/>
      <c r="E208" s="607"/>
      <c r="F208" s="608" t="s">
        <v>228</v>
      </c>
      <c r="G208" s="609" t="e">
        <f>AVERAGE(H208:S208)</f>
        <v>#DIV/0!</v>
      </c>
      <c r="H208" s="636"/>
      <c r="I208" s="610"/>
      <c r="J208" s="610"/>
      <c r="K208" s="610"/>
      <c r="L208" s="610"/>
      <c r="M208" s="850"/>
      <c r="N208" s="610"/>
      <c r="O208" s="610"/>
      <c r="P208" s="610"/>
      <c r="Q208" s="610"/>
      <c r="R208" s="610"/>
      <c r="S208" s="611"/>
    </row>
    <row r="209" spans="2:19" ht="15" hidden="1" customHeight="1" x14ac:dyDescent="0.25">
      <c r="B209" s="522" t="s">
        <v>177</v>
      </c>
      <c r="C209" s="750"/>
      <c r="E209" s="607"/>
      <c r="F209" s="612" t="s">
        <v>210</v>
      </c>
      <c r="G209" s="613" t="e">
        <f>AVERAGE(H209:S209)</f>
        <v>#DIV/0!</v>
      </c>
      <c r="H209" s="614"/>
      <c r="I209" s="615"/>
      <c r="J209" s="615"/>
      <c r="K209" s="615"/>
      <c r="L209" s="615"/>
      <c r="M209" s="975"/>
      <c r="N209" s="615"/>
      <c r="O209" s="615"/>
      <c r="P209" s="615"/>
      <c r="Q209" s="615"/>
      <c r="R209" s="615"/>
      <c r="S209" s="616"/>
    </row>
    <row r="210" spans="2:19" ht="15" hidden="1" customHeight="1" x14ac:dyDescent="0.25">
      <c r="B210" s="522" t="s">
        <v>180</v>
      </c>
      <c r="C210" s="750"/>
      <c r="E210" s="607"/>
      <c r="F210" s="612" t="s">
        <v>229</v>
      </c>
      <c r="G210" s="613" t="e">
        <f t="shared" ref="G210:S210" si="12">((ROUND(G208/G209,0)&amp;" : "&amp;"1"))</f>
        <v>#DIV/0!</v>
      </c>
      <c r="H210" s="614" t="e">
        <f t="shared" si="12"/>
        <v>#DIV/0!</v>
      </c>
      <c r="I210" s="614" t="e">
        <f t="shared" si="12"/>
        <v>#DIV/0!</v>
      </c>
      <c r="J210" s="614" t="e">
        <f t="shared" si="12"/>
        <v>#DIV/0!</v>
      </c>
      <c r="K210" s="614" t="e">
        <f t="shared" si="12"/>
        <v>#DIV/0!</v>
      </c>
      <c r="L210" s="614" t="e">
        <f t="shared" si="12"/>
        <v>#DIV/0!</v>
      </c>
      <c r="M210" s="989" t="e">
        <f t="shared" si="12"/>
        <v>#DIV/0!</v>
      </c>
      <c r="N210" s="614" t="e">
        <f t="shared" si="12"/>
        <v>#DIV/0!</v>
      </c>
      <c r="O210" s="614" t="e">
        <f t="shared" si="12"/>
        <v>#DIV/0!</v>
      </c>
      <c r="P210" s="614" t="e">
        <f t="shared" si="12"/>
        <v>#DIV/0!</v>
      </c>
      <c r="Q210" s="614" t="e">
        <f t="shared" si="12"/>
        <v>#DIV/0!</v>
      </c>
      <c r="R210" s="614" t="e">
        <f t="shared" si="12"/>
        <v>#DIV/0!</v>
      </c>
      <c r="S210" s="616" t="e">
        <f t="shared" si="12"/>
        <v>#DIV/0!</v>
      </c>
    </row>
    <row r="211" spans="2:19" ht="15" hidden="1" customHeight="1" x14ac:dyDescent="0.25">
      <c r="B211" s="514" t="s">
        <v>179</v>
      </c>
      <c r="C211" s="750"/>
      <c r="E211" s="607"/>
      <c r="F211" s="617" t="s">
        <v>187</v>
      </c>
      <c r="G211" s="644" t="s">
        <v>187</v>
      </c>
      <c r="H211" s="645" t="s">
        <v>187</v>
      </c>
      <c r="I211" s="645" t="s">
        <v>187</v>
      </c>
      <c r="J211" s="645" t="s">
        <v>187</v>
      </c>
      <c r="K211" s="645" t="s">
        <v>187</v>
      </c>
      <c r="L211" s="645" t="s">
        <v>187</v>
      </c>
      <c r="M211" s="990" t="s">
        <v>187</v>
      </c>
      <c r="N211" s="645" t="s">
        <v>187</v>
      </c>
      <c r="O211" s="645" t="s">
        <v>187</v>
      </c>
      <c r="P211" s="645" t="s">
        <v>187</v>
      </c>
      <c r="Q211" s="645" t="s">
        <v>187</v>
      </c>
      <c r="R211" s="645" t="s">
        <v>187</v>
      </c>
      <c r="S211" s="646" t="s">
        <v>187</v>
      </c>
    </row>
    <row r="212" spans="2:19" ht="15" hidden="1" customHeight="1" x14ac:dyDescent="0.25">
      <c r="B212" s="756" t="s">
        <v>114</v>
      </c>
      <c r="C212" s="920"/>
      <c r="D212" s="885"/>
      <c r="E212" s="621"/>
      <c r="F212" s="622"/>
      <c r="G212" s="621"/>
      <c r="H212" s="621"/>
      <c r="I212" s="621"/>
      <c r="J212" s="621"/>
      <c r="K212" s="621"/>
      <c r="L212" s="621"/>
      <c r="M212" s="997"/>
      <c r="N212" s="621"/>
      <c r="O212" s="621"/>
      <c r="P212" s="621"/>
      <c r="Q212" s="621"/>
      <c r="R212" s="621"/>
      <c r="S212" s="643"/>
    </row>
    <row r="213" spans="2:19" ht="15" hidden="1" customHeight="1" x14ac:dyDescent="0.25">
      <c r="B213" s="509" t="s">
        <v>178</v>
      </c>
      <c r="C213" s="750"/>
      <c r="E213" s="607"/>
      <c r="F213" s="608" t="s">
        <v>230</v>
      </c>
      <c r="G213" s="609" t="e">
        <f>AVERAGE(H213:S213)</f>
        <v>#DIV/0!</v>
      </c>
      <c r="H213" s="636"/>
      <c r="I213" s="610"/>
      <c r="J213" s="610"/>
      <c r="K213" s="610"/>
      <c r="L213" s="610"/>
      <c r="M213" s="850"/>
      <c r="N213" s="610"/>
      <c r="O213" s="610"/>
      <c r="P213" s="610"/>
      <c r="Q213" s="610"/>
      <c r="R213" s="610"/>
      <c r="S213" s="611"/>
    </row>
    <row r="214" spans="2:19" ht="15" hidden="1" customHeight="1" x14ac:dyDescent="0.25">
      <c r="B214" s="522" t="s">
        <v>177</v>
      </c>
      <c r="C214" s="750"/>
      <c r="E214" s="607"/>
      <c r="F214" s="612" t="s">
        <v>231</v>
      </c>
      <c r="G214" s="613" t="e">
        <f>AVERAGE(H214:S214)</f>
        <v>#DIV/0!</v>
      </c>
      <c r="H214" s="614"/>
      <c r="I214" s="615"/>
      <c r="J214" s="615"/>
      <c r="K214" s="615"/>
      <c r="L214" s="615"/>
      <c r="M214" s="975"/>
      <c r="N214" s="615"/>
      <c r="O214" s="615"/>
      <c r="P214" s="615"/>
      <c r="Q214" s="615"/>
      <c r="R214" s="615"/>
      <c r="S214" s="616"/>
    </row>
    <row r="215" spans="2:19" ht="15" hidden="1" customHeight="1" x14ac:dyDescent="0.25">
      <c r="B215" s="522" t="s">
        <v>180</v>
      </c>
      <c r="C215" s="750"/>
      <c r="E215" s="607"/>
      <c r="F215" s="612" t="s">
        <v>187</v>
      </c>
      <c r="G215" s="613" t="e">
        <f t="shared" ref="G215:S215" si="13">((ROUND(G213/G214,0)&amp;" : "&amp;"1"))</f>
        <v>#DIV/0!</v>
      </c>
      <c r="H215" s="614" t="e">
        <f t="shared" si="13"/>
        <v>#DIV/0!</v>
      </c>
      <c r="I215" s="614" t="e">
        <f t="shared" si="13"/>
        <v>#DIV/0!</v>
      </c>
      <c r="J215" s="614" t="e">
        <f t="shared" si="13"/>
        <v>#DIV/0!</v>
      </c>
      <c r="K215" s="614" t="e">
        <f t="shared" si="13"/>
        <v>#DIV/0!</v>
      </c>
      <c r="L215" s="614" t="e">
        <f t="shared" si="13"/>
        <v>#DIV/0!</v>
      </c>
      <c r="M215" s="989" t="e">
        <f t="shared" si="13"/>
        <v>#DIV/0!</v>
      </c>
      <c r="N215" s="614" t="e">
        <f t="shared" si="13"/>
        <v>#DIV/0!</v>
      </c>
      <c r="O215" s="614" t="e">
        <f t="shared" si="13"/>
        <v>#DIV/0!</v>
      </c>
      <c r="P215" s="614" t="e">
        <f t="shared" si="13"/>
        <v>#DIV/0!</v>
      </c>
      <c r="Q215" s="614" t="e">
        <f t="shared" si="13"/>
        <v>#DIV/0!</v>
      </c>
      <c r="R215" s="614" t="e">
        <f t="shared" si="13"/>
        <v>#DIV/0!</v>
      </c>
      <c r="S215" s="616" t="e">
        <f t="shared" si="13"/>
        <v>#DIV/0!</v>
      </c>
    </row>
    <row r="216" spans="2:19" ht="15" hidden="1" customHeight="1" x14ac:dyDescent="0.25">
      <c r="B216" s="514" t="s">
        <v>179</v>
      </c>
      <c r="C216" s="750"/>
      <c r="E216" s="607"/>
      <c r="F216" s="617" t="s">
        <v>188</v>
      </c>
      <c r="G216" s="644" t="s">
        <v>188</v>
      </c>
      <c r="H216" s="645" t="s">
        <v>188</v>
      </c>
      <c r="I216" s="645" t="s">
        <v>188</v>
      </c>
      <c r="J216" s="645" t="s">
        <v>188</v>
      </c>
      <c r="K216" s="645" t="s">
        <v>188</v>
      </c>
      <c r="L216" s="645" t="s">
        <v>188</v>
      </c>
      <c r="M216" s="990" t="s">
        <v>188</v>
      </c>
      <c r="N216" s="645" t="s">
        <v>188</v>
      </c>
      <c r="O216" s="645" t="s">
        <v>188</v>
      </c>
      <c r="P216" s="645" t="s">
        <v>188</v>
      </c>
      <c r="Q216" s="645" t="s">
        <v>188</v>
      </c>
      <c r="R216" s="645" t="s">
        <v>188</v>
      </c>
      <c r="S216" s="646" t="s">
        <v>188</v>
      </c>
    </row>
    <row r="217" spans="2:19" ht="15" hidden="1" customHeight="1" x14ac:dyDescent="0.25">
      <c r="B217" s="756" t="s">
        <v>203</v>
      </c>
      <c r="C217" s="920"/>
      <c r="D217" s="885"/>
      <c r="E217" s="621"/>
      <c r="F217" s="622"/>
      <c r="G217" s="621"/>
      <c r="H217" s="621"/>
      <c r="I217" s="621"/>
      <c r="J217" s="621"/>
      <c r="K217" s="621"/>
      <c r="L217" s="621"/>
      <c r="M217" s="997"/>
      <c r="N217" s="621"/>
      <c r="O217" s="621"/>
      <c r="P217" s="621"/>
      <c r="Q217" s="621"/>
      <c r="R217" s="621"/>
      <c r="S217" s="643"/>
    </row>
    <row r="218" spans="2:19" ht="15" hidden="1" customHeight="1" x14ac:dyDescent="0.25">
      <c r="B218" s="509" t="s">
        <v>178</v>
      </c>
      <c r="C218" s="750"/>
      <c r="E218" s="647"/>
      <c r="F218" s="608" t="s">
        <v>232</v>
      </c>
      <c r="G218" s="609" t="e">
        <f>AVERAGE(H218:S218)</f>
        <v>#DIV/0!</v>
      </c>
      <c r="H218" s="636"/>
      <c r="I218" s="610"/>
      <c r="J218" s="610"/>
      <c r="K218" s="610"/>
      <c r="L218" s="648"/>
      <c r="M218" s="850"/>
      <c r="N218" s="610"/>
      <c r="O218" s="610"/>
      <c r="P218" s="610"/>
      <c r="Q218" s="610"/>
      <c r="R218" s="610"/>
      <c r="S218" s="611"/>
    </row>
    <row r="219" spans="2:19" ht="15" hidden="1" customHeight="1" x14ac:dyDescent="0.25">
      <c r="B219" s="522" t="s">
        <v>177</v>
      </c>
      <c r="C219" s="750"/>
      <c r="E219" s="607"/>
      <c r="F219" s="612" t="s">
        <v>218</v>
      </c>
      <c r="G219" s="613" t="e">
        <f>AVERAGE(H219:S219)</f>
        <v>#DIV/0!</v>
      </c>
      <c r="H219" s="614"/>
      <c r="I219" s="615"/>
      <c r="J219" s="615"/>
      <c r="K219" s="615"/>
      <c r="L219" s="648"/>
      <c r="M219" s="975"/>
      <c r="N219" s="615"/>
      <c r="O219" s="615"/>
      <c r="P219" s="615"/>
      <c r="Q219" s="615"/>
      <c r="R219" s="615"/>
      <c r="S219" s="616"/>
    </row>
    <row r="220" spans="2:19" ht="15" hidden="1" customHeight="1" x14ac:dyDescent="0.25">
      <c r="B220" s="522" t="s">
        <v>180</v>
      </c>
      <c r="C220" s="750"/>
      <c r="E220" s="607"/>
      <c r="F220" s="612" t="s">
        <v>233</v>
      </c>
      <c r="G220" s="613" t="e">
        <f t="shared" ref="G220:S220" si="14">((ROUND(G218/G219,0)&amp;" : "&amp;"1"))</f>
        <v>#DIV/0!</v>
      </c>
      <c r="H220" s="614" t="e">
        <f t="shared" si="14"/>
        <v>#DIV/0!</v>
      </c>
      <c r="I220" s="614" t="e">
        <f t="shared" si="14"/>
        <v>#DIV/0!</v>
      </c>
      <c r="J220" s="614" t="e">
        <f t="shared" si="14"/>
        <v>#DIV/0!</v>
      </c>
      <c r="K220" s="614" t="e">
        <f t="shared" si="14"/>
        <v>#DIV/0!</v>
      </c>
      <c r="L220" s="614" t="e">
        <f t="shared" si="14"/>
        <v>#DIV/0!</v>
      </c>
      <c r="M220" s="989" t="e">
        <f t="shared" si="14"/>
        <v>#DIV/0!</v>
      </c>
      <c r="N220" s="614" t="e">
        <f t="shared" si="14"/>
        <v>#DIV/0!</v>
      </c>
      <c r="O220" s="614" t="e">
        <f t="shared" si="14"/>
        <v>#DIV/0!</v>
      </c>
      <c r="P220" s="614" t="e">
        <f t="shared" si="14"/>
        <v>#DIV/0!</v>
      </c>
      <c r="Q220" s="614" t="e">
        <f t="shared" si="14"/>
        <v>#DIV/0!</v>
      </c>
      <c r="R220" s="614" t="e">
        <f t="shared" si="14"/>
        <v>#DIV/0!</v>
      </c>
      <c r="S220" s="631" t="e">
        <f t="shared" si="14"/>
        <v>#DIV/0!</v>
      </c>
    </row>
    <row r="221" spans="2:19" ht="15" hidden="1" customHeight="1" x14ac:dyDescent="0.25">
      <c r="B221" s="514" t="s">
        <v>179</v>
      </c>
      <c r="C221" s="750"/>
      <c r="E221" s="607"/>
      <c r="F221" s="617" t="s">
        <v>189</v>
      </c>
      <c r="G221" s="644" t="s">
        <v>189</v>
      </c>
      <c r="H221" s="645" t="s">
        <v>189</v>
      </c>
      <c r="I221" s="645" t="s">
        <v>189</v>
      </c>
      <c r="J221" s="645" t="s">
        <v>189</v>
      </c>
      <c r="K221" s="645" t="s">
        <v>189</v>
      </c>
      <c r="L221" s="645" t="s">
        <v>189</v>
      </c>
      <c r="M221" s="990" t="s">
        <v>189</v>
      </c>
      <c r="N221" s="645" t="s">
        <v>189</v>
      </c>
      <c r="O221" s="645" t="s">
        <v>189</v>
      </c>
      <c r="P221" s="645" t="s">
        <v>189</v>
      </c>
      <c r="Q221" s="645" t="s">
        <v>189</v>
      </c>
      <c r="R221" s="645" t="s">
        <v>189</v>
      </c>
      <c r="S221" s="649" t="s">
        <v>189</v>
      </c>
    </row>
    <row r="222" spans="2:19" ht="15" hidden="1" customHeight="1" x14ac:dyDescent="0.25">
      <c r="B222" s="756" t="s">
        <v>201</v>
      </c>
      <c r="C222" s="920"/>
      <c r="D222" s="885"/>
      <c r="E222" s="621"/>
      <c r="F222" s="622"/>
      <c r="G222" s="650"/>
      <c r="H222" s="621"/>
      <c r="I222" s="621"/>
      <c r="J222" s="621"/>
      <c r="K222" s="1047"/>
      <c r="L222" s="1047"/>
      <c r="M222" s="997"/>
      <c r="N222" s="621"/>
      <c r="O222" s="621"/>
      <c r="P222" s="621"/>
      <c r="Q222" s="621"/>
      <c r="R222" s="621"/>
      <c r="S222" s="643"/>
    </row>
    <row r="223" spans="2:19" ht="15" hidden="1" customHeight="1" x14ac:dyDescent="0.25">
      <c r="B223" s="509" t="s">
        <v>178</v>
      </c>
      <c r="C223" s="750"/>
      <c r="E223" s="607"/>
      <c r="F223" s="608" t="s">
        <v>234</v>
      </c>
      <c r="G223" s="609" t="e">
        <f>AVERAGE(H223:N223)</f>
        <v>#DIV/0!</v>
      </c>
      <c r="H223" s="636"/>
      <c r="I223" s="610"/>
      <c r="J223" s="610"/>
      <c r="K223" s="610"/>
      <c r="L223" s="610"/>
      <c r="M223" s="850"/>
      <c r="N223" s="610"/>
      <c r="O223" s="610"/>
      <c r="P223" s="610"/>
      <c r="Q223" s="610"/>
      <c r="R223" s="610"/>
      <c r="S223" s="611"/>
    </row>
    <row r="224" spans="2:19" ht="15" hidden="1" customHeight="1" x14ac:dyDescent="0.25">
      <c r="B224" s="522" t="s">
        <v>177</v>
      </c>
      <c r="C224" s="750"/>
      <c r="E224" s="607"/>
      <c r="F224" s="612" t="s">
        <v>235</v>
      </c>
      <c r="G224" s="613" t="e">
        <f>AVERAGE(H224:S224)</f>
        <v>#DIV/0!</v>
      </c>
      <c r="H224" s="614"/>
      <c r="I224" s="615"/>
      <c r="J224" s="615"/>
      <c r="K224" s="615"/>
      <c r="L224" s="615"/>
      <c r="M224" s="975"/>
      <c r="N224" s="615"/>
      <c r="O224" s="615"/>
      <c r="P224" s="615"/>
      <c r="Q224" s="615"/>
      <c r="R224" s="615"/>
      <c r="S224" s="616"/>
    </row>
    <row r="225" spans="2:19" ht="15" hidden="1" customHeight="1" x14ac:dyDescent="0.25">
      <c r="B225" s="522" t="s">
        <v>180</v>
      </c>
      <c r="C225" s="750"/>
      <c r="E225" s="607"/>
      <c r="F225" s="612" t="s">
        <v>236</v>
      </c>
      <c r="G225" s="613" t="e">
        <f t="shared" ref="G225:S225" si="15">((ROUND(G223/G224,0)&amp;" : "&amp;"1"))</f>
        <v>#DIV/0!</v>
      </c>
      <c r="H225" s="614" t="e">
        <f t="shared" si="15"/>
        <v>#DIV/0!</v>
      </c>
      <c r="I225" s="614" t="e">
        <f t="shared" si="15"/>
        <v>#DIV/0!</v>
      </c>
      <c r="J225" s="614" t="e">
        <f t="shared" si="15"/>
        <v>#DIV/0!</v>
      </c>
      <c r="K225" s="614" t="e">
        <f t="shared" si="15"/>
        <v>#DIV/0!</v>
      </c>
      <c r="L225" s="614" t="e">
        <f t="shared" si="15"/>
        <v>#DIV/0!</v>
      </c>
      <c r="M225" s="989" t="e">
        <f t="shared" si="15"/>
        <v>#DIV/0!</v>
      </c>
      <c r="N225" s="614" t="e">
        <f t="shared" si="15"/>
        <v>#DIV/0!</v>
      </c>
      <c r="O225" s="614" t="e">
        <f t="shared" si="15"/>
        <v>#DIV/0!</v>
      </c>
      <c r="P225" s="614" t="e">
        <f t="shared" si="15"/>
        <v>#DIV/0!</v>
      </c>
      <c r="Q225" s="614" t="e">
        <f t="shared" si="15"/>
        <v>#DIV/0!</v>
      </c>
      <c r="R225" s="614" t="e">
        <f t="shared" si="15"/>
        <v>#DIV/0!</v>
      </c>
      <c r="S225" s="631" t="e">
        <f t="shared" si="15"/>
        <v>#DIV/0!</v>
      </c>
    </row>
    <row r="226" spans="2:19" ht="15" hidden="1" customHeight="1" x14ac:dyDescent="0.25">
      <c r="B226" s="514" t="s">
        <v>179</v>
      </c>
      <c r="C226" s="750"/>
      <c r="E226" s="607"/>
      <c r="F226" s="617" t="s">
        <v>211</v>
      </c>
      <c r="G226" s="618" t="s">
        <v>211</v>
      </c>
      <c r="H226" s="619" t="s">
        <v>211</v>
      </c>
      <c r="I226" s="619" t="s">
        <v>211</v>
      </c>
      <c r="J226" s="619" t="s">
        <v>211</v>
      </c>
      <c r="K226" s="619" t="s">
        <v>211</v>
      </c>
      <c r="L226" s="619" t="s">
        <v>211</v>
      </c>
      <c r="M226" s="990" t="s">
        <v>211</v>
      </c>
      <c r="N226" s="619" t="s">
        <v>211</v>
      </c>
      <c r="O226" s="619" t="s">
        <v>211</v>
      </c>
      <c r="P226" s="619" t="s">
        <v>211</v>
      </c>
      <c r="Q226" s="619" t="s">
        <v>211</v>
      </c>
      <c r="R226" s="619" t="s">
        <v>211</v>
      </c>
      <c r="S226" s="632" t="s">
        <v>211</v>
      </c>
    </row>
    <row r="227" spans="2:19" ht="15" hidden="1" customHeight="1" x14ac:dyDescent="0.25">
      <c r="B227" s="756" t="s">
        <v>163</v>
      </c>
      <c r="C227" s="920"/>
      <c r="D227" s="885"/>
      <c r="E227" s="621"/>
      <c r="F227" s="622"/>
      <c r="G227" s="650"/>
      <c r="H227" s="621"/>
      <c r="I227" s="621"/>
      <c r="J227" s="621"/>
      <c r="K227" s="1047"/>
      <c r="L227" s="1047"/>
      <c r="M227" s="997"/>
      <c r="N227" s="621"/>
      <c r="O227" s="621"/>
      <c r="P227" s="621"/>
      <c r="Q227" s="621"/>
      <c r="R227" s="621"/>
      <c r="S227" s="643"/>
    </row>
    <row r="228" spans="2:19" ht="15" hidden="1" customHeight="1" x14ac:dyDescent="0.25">
      <c r="B228" s="509" t="s">
        <v>178</v>
      </c>
      <c r="C228" s="750"/>
      <c r="E228" s="607"/>
      <c r="F228" s="608" t="s">
        <v>237</v>
      </c>
      <c r="G228" s="609" t="e">
        <f>AVERAGE(H228:S228)</f>
        <v>#DIV/0!</v>
      </c>
      <c r="H228" s="636"/>
      <c r="I228" s="610"/>
      <c r="J228" s="610"/>
      <c r="K228" s="610"/>
      <c r="L228" s="610"/>
      <c r="M228" s="850"/>
      <c r="N228" s="610"/>
      <c r="O228" s="610"/>
      <c r="P228" s="610"/>
      <c r="Q228" s="610"/>
      <c r="R228" s="610"/>
      <c r="S228" s="611"/>
    </row>
    <row r="229" spans="2:19" ht="15" hidden="1" customHeight="1" x14ac:dyDescent="0.25">
      <c r="B229" s="522" t="s">
        <v>177</v>
      </c>
      <c r="C229" s="750"/>
      <c r="E229" s="607"/>
      <c r="F229" s="612" t="s">
        <v>227</v>
      </c>
      <c r="G229" s="613" t="e">
        <f>AVERAGE(H229:S229)</f>
        <v>#DIV/0!</v>
      </c>
      <c r="H229" s="614"/>
      <c r="I229" s="615"/>
      <c r="J229" s="615"/>
      <c r="K229" s="615"/>
      <c r="L229" s="615"/>
      <c r="M229" s="975"/>
      <c r="N229" s="615"/>
      <c r="O229" s="615"/>
      <c r="P229" s="615"/>
      <c r="Q229" s="615"/>
      <c r="R229" s="615"/>
      <c r="S229" s="616"/>
    </row>
    <row r="230" spans="2:19" ht="15" hidden="1" customHeight="1" x14ac:dyDescent="0.25">
      <c r="B230" s="522" t="s">
        <v>180</v>
      </c>
      <c r="C230" s="750"/>
      <c r="E230" s="607"/>
      <c r="F230" s="612" t="s">
        <v>225</v>
      </c>
      <c r="G230" s="613" t="e">
        <f t="shared" ref="G230:S230" si="16">((ROUND(G228/G229,0)&amp;" : "&amp;"1"))</f>
        <v>#DIV/0!</v>
      </c>
      <c r="H230" s="614" t="e">
        <f t="shared" si="16"/>
        <v>#DIV/0!</v>
      </c>
      <c r="I230" s="614" t="e">
        <f t="shared" si="16"/>
        <v>#DIV/0!</v>
      </c>
      <c r="J230" s="614" t="e">
        <f t="shared" si="16"/>
        <v>#DIV/0!</v>
      </c>
      <c r="K230" s="614" t="e">
        <f t="shared" si="16"/>
        <v>#DIV/0!</v>
      </c>
      <c r="L230" s="614" t="e">
        <f t="shared" si="16"/>
        <v>#DIV/0!</v>
      </c>
      <c r="M230" s="989" t="e">
        <f t="shared" si="16"/>
        <v>#DIV/0!</v>
      </c>
      <c r="N230" s="614" t="e">
        <f t="shared" si="16"/>
        <v>#DIV/0!</v>
      </c>
      <c r="O230" s="614" t="e">
        <f t="shared" si="16"/>
        <v>#DIV/0!</v>
      </c>
      <c r="P230" s="614" t="e">
        <f t="shared" si="16"/>
        <v>#DIV/0!</v>
      </c>
      <c r="Q230" s="614" t="e">
        <f t="shared" si="16"/>
        <v>#DIV/0!</v>
      </c>
      <c r="R230" s="614" t="e">
        <f t="shared" si="16"/>
        <v>#DIV/0!</v>
      </c>
      <c r="S230" s="631" t="e">
        <f t="shared" si="16"/>
        <v>#DIV/0!</v>
      </c>
    </row>
    <row r="231" spans="2:19" ht="15" hidden="1" customHeight="1" x14ac:dyDescent="0.25">
      <c r="B231" s="514" t="s">
        <v>179</v>
      </c>
      <c r="C231" s="750"/>
      <c r="E231" s="607"/>
      <c r="F231" s="617" t="s">
        <v>212</v>
      </c>
      <c r="G231" s="618" t="s">
        <v>212</v>
      </c>
      <c r="H231" s="619" t="s">
        <v>212</v>
      </c>
      <c r="I231" s="619" t="s">
        <v>212</v>
      </c>
      <c r="J231" s="619" t="s">
        <v>212</v>
      </c>
      <c r="K231" s="619" t="s">
        <v>212</v>
      </c>
      <c r="L231" s="619" t="s">
        <v>212</v>
      </c>
      <c r="M231" s="990" t="s">
        <v>212</v>
      </c>
      <c r="N231" s="619" t="s">
        <v>212</v>
      </c>
      <c r="O231" s="619" t="s">
        <v>212</v>
      </c>
      <c r="P231" s="619" t="s">
        <v>212</v>
      </c>
      <c r="Q231" s="619" t="s">
        <v>212</v>
      </c>
      <c r="R231" s="619" t="s">
        <v>212</v>
      </c>
      <c r="S231" s="632" t="s">
        <v>212</v>
      </c>
    </row>
    <row r="232" spans="2:19" ht="15" hidden="1" customHeight="1" x14ac:dyDescent="0.25">
      <c r="B232" s="756" t="s">
        <v>202</v>
      </c>
      <c r="C232" s="920"/>
      <c r="D232" s="885"/>
      <c r="E232" s="621"/>
      <c r="F232" s="622"/>
      <c r="G232" s="650"/>
      <c r="H232" s="621"/>
      <c r="I232" s="621"/>
      <c r="J232" s="621"/>
      <c r="K232" s="1047"/>
      <c r="L232" s="1047"/>
      <c r="M232" s="997"/>
      <c r="N232" s="621"/>
      <c r="O232" s="621"/>
      <c r="P232" s="621"/>
      <c r="Q232" s="621"/>
      <c r="R232" s="621"/>
      <c r="S232" s="643"/>
    </row>
    <row r="233" spans="2:19" ht="15" hidden="1" customHeight="1" x14ac:dyDescent="0.25">
      <c r="B233" s="509" t="s">
        <v>178</v>
      </c>
      <c r="C233" s="750"/>
      <c r="E233" s="607"/>
      <c r="F233" s="608" t="s">
        <v>238</v>
      </c>
      <c r="G233" s="609" t="e">
        <f>AVERAGE(H233:S233)</f>
        <v>#DIV/0!</v>
      </c>
      <c r="H233" s="636"/>
      <c r="I233" s="610"/>
      <c r="J233" s="610"/>
      <c r="K233" s="610"/>
      <c r="L233" s="610"/>
      <c r="M233" s="850"/>
      <c r="N233" s="610"/>
      <c r="O233" s="610"/>
      <c r="P233" s="610"/>
      <c r="Q233" s="610"/>
      <c r="R233" s="610"/>
      <c r="S233" s="611"/>
    </row>
    <row r="234" spans="2:19" ht="15" hidden="1" customHeight="1" x14ac:dyDescent="0.25">
      <c r="B234" s="522" t="s">
        <v>177</v>
      </c>
      <c r="C234" s="750"/>
      <c r="E234" s="607"/>
      <c r="F234" s="612" t="s">
        <v>235</v>
      </c>
      <c r="G234" s="613" t="e">
        <f>AVERAGE(H234:S234)</f>
        <v>#DIV/0!</v>
      </c>
      <c r="H234" s="614"/>
      <c r="I234" s="615"/>
      <c r="J234" s="615"/>
      <c r="K234" s="615"/>
      <c r="L234" s="615"/>
      <c r="M234" s="975"/>
      <c r="N234" s="615"/>
      <c r="O234" s="615"/>
      <c r="P234" s="615"/>
      <c r="Q234" s="615"/>
      <c r="R234" s="615"/>
      <c r="S234" s="616"/>
    </row>
    <row r="235" spans="2:19" ht="15" hidden="1" customHeight="1" x14ac:dyDescent="0.25">
      <c r="B235" s="522" t="s">
        <v>180</v>
      </c>
      <c r="C235" s="750"/>
      <c r="E235" s="607"/>
      <c r="F235" s="612" t="s">
        <v>236</v>
      </c>
      <c r="G235" s="613" t="e">
        <f t="shared" ref="G235:S235" si="17">((ROUND(G233/G234,0)&amp;" : "&amp;"1"))</f>
        <v>#DIV/0!</v>
      </c>
      <c r="H235" s="614" t="e">
        <f t="shared" si="17"/>
        <v>#DIV/0!</v>
      </c>
      <c r="I235" s="614" t="e">
        <f t="shared" si="17"/>
        <v>#DIV/0!</v>
      </c>
      <c r="J235" s="614" t="e">
        <f t="shared" si="17"/>
        <v>#DIV/0!</v>
      </c>
      <c r="K235" s="614" t="e">
        <f t="shared" si="17"/>
        <v>#DIV/0!</v>
      </c>
      <c r="L235" s="614" t="e">
        <f t="shared" si="17"/>
        <v>#DIV/0!</v>
      </c>
      <c r="M235" s="989" t="e">
        <f t="shared" si="17"/>
        <v>#DIV/0!</v>
      </c>
      <c r="N235" s="614" t="e">
        <f t="shared" si="17"/>
        <v>#DIV/0!</v>
      </c>
      <c r="O235" s="614" t="e">
        <f t="shared" si="17"/>
        <v>#DIV/0!</v>
      </c>
      <c r="P235" s="614" t="e">
        <f t="shared" si="17"/>
        <v>#DIV/0!</v>
      </c>
      <c r="Q235" s="614" t="e">
        <f t="shared" si="17"/>
        <v>#DIV/0!</v>
      </c>
      <c r="R235" s="614" t="e">
        <f t="shared" si="17"/>
        <v>#DIV/0!</v>
      </c>
      <c r="S235" s="631" t="e">
        <f t="shared" si="17"/>
        <v>#DIV/0!</v>
      </c>
    </row>
    <row r="236" spans="2:19" ht="15" hidden="1" customHeight="1" x14ac:dyDescent="0.25">
      <c r="B236" s="759" t="s">
        <v>179</v>
      </c>
      <c r="C236" s="914"/>
      <c r="D236" s="880"/>
      <c r="E236" s="637"/>
      <c r="F236" s="638" t="s">
        <v>211</v>
      </c>
      <c r="G236" s="639" t="s">
        <v>211</v>
      </c>
      <c r="H236" s="640" t="s">
        <v>189</v>
      </c>
      <c r="I236" s="640" t="s">
        <v>189</v>
      </c>
      <c r="J236" s="640" t="s">
        <v>189</v>
      </c>
      <c r="K236" s="640" t="s">
        <v>189</v>
      </c>
      <c r="L236" s="640" t="s">
        <v>189</v>
      </c>
      <c r="M236" s="995" t="s">
        <v>189</v>
      </c>
      <c r="N236" s="640" t="s">
        <v>189</v>
      </c>
      <c r="O236" s="640" t="s">
        <v>189</v>
      </c>
      <c r="P236" s="651" t="s">
        <v>211</v>
      </c>
      <c r="Q236" s="651" t="s">
        <v>211</v>
      </c>
      <c r="R236" s="651" t="s">
        <v>211</v>
      </c>
      <c r="S236" s="652" t="s">
        <v>211</v>
      </c>
    </row>
    <row r="237" spans="2:19" hidden="1" x14ac:dyDescent="0.25"/>
    <row r="238" spans="2:19" hidden="1" x14ac:dyDescent="0.25"/>
  </sheetData>
  <mergeCells count="35">
    <mergeCell ref="E1:F1"/>
    <mergeCell ref="B3:S3"/>
    <mergeCell ref="B4:S4"/>
    <mergeCell ref="B5:S5"/>
    <mergeCell ref="B13:S13"/>
    <mergeCell ref="B24:S24"/>
    <mergeCell ref="B44:S44"/>
    <mergeCell ref="E48:F49"/>
    <mergeCell ref="G48:G49"/>
    <mergeCell ref="B52:S52"/>
    <mergeCell ref="B57:S57"/>
    <mergeCell ref="B64:S64"/>
    <mergeCell ref="B77:S77"/>
    <mergeCell ref="B78:S78"/>
    <mergeCell ref="B84:S84"/>
    <mergeCell ref="B88:S88"/>
    <mergeCell ref="B98:S98"/>
    <mergeCell ref="B104:S104"/>
    <mergeCell ref="B164:S164"/>
    <mergeCell ref="B107:S107"/>
    <mergeCell ref="B117:S117"/>
    <mergeCell ref="B118:S118"/>
    <mergeCell ref="B124:S124"/>
    <mergeCell ref="B129:S129"/>
    <mergeCell ref="B136:S136"/>
    <mergeCell ref="B137:S137"/>
    <mergeCell ref="B142:S142"/>
    <mergeCell ref="B148:S148"/>
    <mergeCell ref="B149:S149"/>
    <mergeCell ref="B157:S157"/>
    <mergeCell ref="B172:S172"/>
    <mergeCell ref="B174:S174"/>
    <mergeCell ref="K222:L222"/>
    <mergeCell ref="K227:L227"/>
    <mergeCell ref="K232:L232"/>
  </mergeCells>
  <pageMargins left="0.25" right="0.25" top="0.75" bottom="0.75" header="0.3" footer="0.3"/>
  <pageSetup scale="5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4973-FCE1-44C7-AF22-97910D3789C9}">
  <sheetPr>
    <pageSetUpPr fitToPage="1"/>
  </sheetPr>
  <dimension ref="A1:U238"/>
  <sheetViews>
    <sheetView topLeftCell="B1" zoomScale="106" zoomScaleNormal="112" workbookViewId="0">
      <pane xSplit="6" ySplit="5" topLeftCell="H6" activePane="bottomRight" state="frozen"/>
      <selection activeCell="B1" sqref="B1"/>
      <selection pane="topRight" activeCell="G1" sqref="G1"/>
      <selection pane="bottomLeft" activeCell="B6" sqref="B6"/>
      <selection pane="bottomRight" activeCell="B149" sqref="B149:S149"/>
    </sheetView>
  </sheetViews>
  <sheetFormatPr defaultColWidth="8.85546875" defaultRowHeight="12.75" x14ac:dyDescent="0.25"/>
  <cols>
    <col min="1" max="1" width="9.140625" style="518" hidden="1" customWidth="1"/>
    <col min="2" max="2" width="41.28515625" style="518" customWidth="1"/>
    <col min="3" max="3" width="0.140625" style="518" hidden="1" customWidth="1"/>
    <col min="4" max="4" width="9.85546875" style="875" customWidth="1"/>
    <col min="5" max="5" width="14.85546875" style="696" customWidth="1"/>
    <col min="6" max="6" width="14.140625" style="696" customWidth="1"/>
    <col min="7" max="7" width="14.5703125" style="653" customWidth="1"/>
    <col min="8" max="8" width="15.140625" style="696" customWidth="1"/>
    <col min="9" max="10" width="9.28515625" style="696" customWidth="1"/>
    <col min="11" max="11" width="11.85546875" style="696" customWidth="1"/>
    <col min="12" max="12" width="17.28515625" style="696" customWidth="1"/>
    <col min="13" max="13" width="17.7109375" style="923" customWidth="1"/>
    <col min="14" max="14" width="14.5703125" style="696" customWidth="1"/>
    <col min="15" max="18" width="12.7109375" style="696" customWidth="1"/>
    <col min="19" max="19" width="12.140625" style="696" customWidth="1"/>
    <col min="20" max="20" width="11" style="518" bestFit="1" customWidth="1"/>
    <col min="21" max="16384" width="8.85546875" style="518"/>
  </cols>
  <sheetData>
    <row r="1" spans="1:21" s="768" customFormat="1" ht="15.95" customHeight="1" x14ac:dyDescent="0.25">
      <c r="A1" s="764"/>
      <c r="B1" s="765"/>
      <c r="C1" s="765" t="s">
        <v>389</v>
      </c>
      <c r="D1" s="864"/>
      <c r="E1" s="1083" t="s">
        <v>262</v>
      </c>
      <c r="F1" s="1084"/>
      <c r="G1" s="504" t="s">
        <v>123</v>
      </c>
      <c r="H1" s="766"/>
      <c r="I1" s="766"/>
      <c r="J1" s="766"/>
      <c r="K1" s="766"/>
      <c r="L1" s="766"/>
      <c r="M1" s="973"/>
      <c r="N1" s="766"/>
      <c r="O1" s="766"/>
      <c r="P1" s="766"/>
      <c r="Q1" s="766"/>
      <c r="R1" s="766"/>
      <c r="S1" s="767"/>
    </row>
    <row r="2" spans="1:21" s="768" customFormat="1" ht="28.5" customHeight="1" x14ac:dyDescent="0.25">
      <c r="A2" s="769"/>
      <c r="B2" s="770"/>
      <c r="C2" s="770"/>
      <c r="D2" s="886"/>
      <c r="E2" s="771" t="s">
        <v>396</v>
      </c>
      <c r="F2" s="772" t="s">
        <v>406</v>
      </c>
      <c r="G2" s="773" t="s">
        <v>414</v>
      </c>
      <c r="H2" s="774" t="s">
        <v>6</v>
      </c>
      <c r="I2" s="771" t="s">
        <v>7</v>
      </c>
      <c r="J2" s="771" t="s">
        <v>8</v>
      </c>
      <c r="K2" s="771" t="s">
        <v>9</v>
      </c>
      <c r="L2" s="771" t="s">
        <v>10</v>
      </c>
      <c r="M2" s="974" t="s">
        <v>11</v>
      </c>
      <c r="N2" s="771" t="s">
        <v>12</v>
      </c>
      <c r="O2" s="771" t="s">
        <v>13</v>
      </c>
      <c r="P2" s="771" t="s">
        <v>14</v>
      </c>
      <c r="Q2" s="771" t="s">
        <v>15</v>
      </c>
      <c r="R2" s="771" t="s">
        <v>16</v>
      </c>
      <c r="S2" s="771" t="s">
        <v>17</v>
      </c>
    </row>
    <row r="3" spans="1:21" s="655" customFormat="1" ht="15.95" customHeight="1" x14ac:dyDescent="0.25">
      <c r="A3" s="654"/>
      <c r="B3" s="1054" t="s">
        <v>264</v>
      </c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6"/>
    </row>
    <row r="4" spans="1:21" s="655" customFormat="1" ht="15.95" customHeight="1" x14ac:dyDescent="0.25">
      <c r="A4" s="654"/>
      <c r="B4" s="1085"/>
      <c r="C4" s="1086"/>
      <c r="D4" s="1086"/>
      <c r="E4" s="1086"/>
      <c r="F4" s="1086"/>
      <c r="G4" s="1086"/>
      <c r="H4" s="1086"/>
      <c r="I4" s="1086"/>
      <c r="J4" s="1086"/>
      <c r="K4" s="1086"/>
      <c r="L4" s="1086"/>
      <c r="M4" s="1086"/>
      <c r="N4" s="1086"/>
      <c r="O4" s="1086"/>
      <c r="P4" s="1086"/>
      <c r="Q4" s="1086"/>
      <c r="R4" s="1086"/>
      <c r="S4" s="1087"/>
    </row>
    <row r="5" spans="1:21" s="655" customFormat="1" ht="15.95" customHeight="1" x14ac:dyDescent="0.25">
      <c r="A5" s="654"/>
      <c r="B5" s="1088" t="s">
        <v>18</v>
      </c>
      <c r="C5" s="1089"/>
      <c r="D5" s="1089"/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089"/>
      <c r="R5" s="1089"/>
      <c r="S5" s="1090"/>
    </row>
    <row r="6" spans="1:21" ht="15" customHeight="1" x14ac:dyDescent="0.25">
      <c r="A6" s="516"/>
      <c r="B6" s="509" t="s">
        <v>282</v>
      </c>
      <c r="C6" s="902" t="s">
        <v>391</v>
      </c>
      <c r="D6" s="871"/>
      <c r="E6" s="657">
        <v>2670</v>
      </c>
      <c r="F6" s="653">
        <v>3067</v>
      </c>
      <c r="G6" s="510"/>
      <c r="H6" s="511">
        <v>233</v>
      </c>
      <c r="I6" s="512">
        <v>272</v>
      </c>
      <c r="J6" s="512">
        <v>283</v>
      </c>
      <c r="K6" s="512">
        <v>308</v>
      </c>
      <c r="L6" s="512">
        <v>252</v>
      </c>
      <c r="M6" s="512">
        <v>222</v>
      </c>
      <c r="N6" s="512">
        <v>213</v>
      </c>
      <c r="O6" s="512">
        <v>279</v>
      </c>
      <c r="P6" s="512">
        <v>301</v>
      </c>
      <c r="Q6" s="512">
        <v>270</v>
      </c>
      <c r="R6" s="512">
        <v>287</v>
      </c>
      <c r="S6" s="513">
        <v>233</v>
      </c>
    </row>
    <row r="7" spans="1:21" ht="15" customHeight="1" x14ac:dyDescent="0.25">
      <c r="A7" s="516"/>
      <c r="B7" s="514" t="s">
        <v>263</v>
      </c>
      <c r="C7" s="902" t="s">
        <v>391</v>
      </c>
      <c r="D7" s="872"/>
      <c r="E7" s="657">
        <v>1430</v>
      </c>
      <c r="F7" s="653">
        <v>1429</v>
      </c>
      <c r="G7" s="510"/>
      <c r="H7" s="511">
        <v>88</v>
      </c>
      <c r="I7" s="512">
        <v>121</v>
      </c>
      <c r="J7" s="512">
        <v>120</v>
      </c>
      <c r="K7" s="512">
        <v>135</v>
      </c>
      <c r="L7" s="512">
        <v>101</v>
      </c>
      <c r="M7" s="512">
        <v>113</v>
      </c>
      <c r="N7" s="512">
        <v>95</v>
      </c>
      <c r="O7" s="512">
        <v>132</v>
      </c>
      <c r="P7" s="512">
        <v>132</v>
      </c>
      <c r="Q7" s="512">
        <v>123</v>
      </c>
      <c r="R7" s="512">
        <v>133</v>
      </c>
      <c r="S7" s="513">
        <v>97</v>
      </c>
    </row>
    <row r="8" spans="1:21" ht="15" customHeight="1" x14ac:dyDescent="0.25">
      <c r="A8" s="516"/>
      <c r="B8" s="522" t="s">
        <v>283</v>
      </c>
      <c r="C8" s="902" t="s">
        <v>391</v>
      </c>
      <c r="D8" s="873"/>
      <c r="E8" s="657">
        <v>3546</v>
      </c>
      <c r="F8" s="653">
        <v>3905</v>
      </c>
      <c r="G8" s="510"/>
      <c r="H8" s="511">
        <v>496</v>
      </c>
      <c r="I8" s="512">
        <v>604</v>
      </c>
      <c r="J8" s="696">
        <v>614</v>
      </c>
      <c r="K8" s="512">
        <v>537</v>
      </c>
      <c r="L8" s="512">
        <v>493</v>
      </c>
      <c r="M8" s="512">
        <v>440</v>
      </c>
      <c r="N8" s="512">
        <v>360</v>
      </c>
      <c r="O8" s="512">
        <v>478</v>
      </c>
      <c r="P8" s="512">
        <v>484</v>
      </c>
      <c r="Q8" s="512">
        <v>413</v>
      </c>
      <c r="R8" s="512">
        <v>485</v>
      </c>
      <c r="S8" s="513"/>
    </row>
    <row r="9" spans="1:21" ht="15" customHeight="1" x14ac:dyDescent="0.25">
      <c r="A9" s="516"/>
      <c r="B9" s="509" t="s">
        <v>284</v>
      </c>
      <c r="C9" s="902" t="s">
        <v>391</v>
      </c>
      <c r="D9" s="871"/>
      <c r="E9" s="657">
        <v>160</v>
      </c>
      <c r="F9" s="653">
        <v>205</v>
      </c>
      <c r="G9" s="510"/>
      <c r="H9" s="511">
        <v>9</v>
      </c>
      <c r="I9" s="512">
        <v>22</v>
      </c>
      <c r="J9" s="696">
        <v>27</v>
      </c>
      <c r="K9" s="512">
        <v>28</v>
      </c>
      <c r="L9" s="512">
        <v>24</v>
      </c>
      <c r="M9" s="512">
        <v>23</v>
      </c>
      <c r="N9" s="512">
        <v>27</v>
      </c>
      <c r="O9" s="512">
        <v>29</v>
      </c>
      <c r="P9" s="512">
        <v>36</v>
      </c>
      <c r="Q9" s="512">
        <v>24</v>
      </c>
      <c r="R9" s="512">
        <v>27</v>
      </c>
      <c r="S9" s="513">
        <v>19</v>
      </c>
    </row>
    <row r="10" spans="1:21" ht="25.5" customHeight="1" x14ac:dyDescent="0.25">
      <c r="A10" s="516"/>
      <c r="B10" s="760" t="s">
        <v>275</v>
      </c>
      <c r="C10" s="902" t="s">
        <v>391</v>
      </c>
      <c r="D10" s="874"/>
      <c r="E10" s="657">
        <v>0</v>
      </c>
      <c r="F10" s="653">
        <v>0</v>
      </c>
      <c r="G10" s="510"/>
      <c r="H10" s="511" t="s">
        <v>144</v>
      </c>
      <c r="I10" s="511" t="s">
        <v>144</v>
      </c>
      <c r="J10" s="511" t="s">
        <v>144</v>
      </c>
      <c r="K10" s="511" t="s">
        <v>144</v>
      </c>
      <c r="L10" s="511" t="s">
        <v>144</v>
      </c>
      <c r="M10" s="511" t="s">
        <v>144</v>
      </c>
      <c r="N10" s="511" t="s">
        <v>144</v>
      </c>
      <c r="O10" s="511" t="s">
        <v>144</v>
      </c>
      <c r="P10" s="511" t="s">
        <v>144</v>
      </c>
      <c r="Q10" s="511" t="s">
        <v>144</v>
      </c>
      <c r="R10" s="511" t="s">
        <v>144</v>
      </c>
      <c r="S10" s="511" t="s">
        <v>144</v>
      </c>
    </row>
    <row r="11" spans="1:21" ht="24.6" customHeight="1" x14ac:dyDescent="0.25">
      <c r="A11" s="516"/>
      <c r="B11" s="522" t="s">
        <v>285</v>
      </c>
      <c r="C11" s="902" t="s">
        <v>391</v>
      </c>
      <c r="D11" s="873"/>
      <c r="E11" s="657">
        <v>849</v>
      </c>
      <c r="F11" s="653">
        <v>1188</v>
      </c>
      <c r="G11" s="510"/>
      <c r="H11" s="511">
        <v>79</v>
      </c>
      <c r="I11" s="512">
        <v>99</v>
      </c>
      <c r="J11" s="512">
        <v>93</v>
      </c>
      <c r="K11" s="512">
        <v>107</v>
      </c>
      <c r="L11" s="512">
        <v>76</v>
      </c>
      <c r="M11" s="512">
        <v>90</v>
      </c>
      <c r="N11" s="512">
        <v>68</v>
      </c>
      <c r="O11" s="512">
        <v>103</v>
      </c>
      <c r="P11" s="512">
        <v>109</v>
      </c>
      <c r="Q11" s="512">
        <v>99</v>
      </c>
      <c r="R11" s="512">
        <v>106</v>
      </c>
      <c r="S11" s="513">
        <v>78</v>
      </c>
    </row>
    <row r="12" spans="1:21" ht="11.25" customHeight="1" x14ac:dyDescent="0.25">
      <c r="A12" s="516"/>
      <c r="B12" s="761" t="s">
        <v>276</v>
      </c>
      <c r="C12" s="902" t="s">
        <v>391</v>
      </c>
      <c r="D12" s="872"/>
      <c r="E12" s="657">
        <v>0</v>
      </c>
      <c r="F12" s="653">
        <v>0</v>
      </c>
      <c r="G12" s="683"/>
      <c r="H12" s="511" t="s">
        <v>144</v>
      </c>
      <c r="I12" s="511" t="s">
        <v>144</v>
      </c>
      <c r="J12" s="511" t="s">
        <v>144</v>
      </c>
      <c r="K12" s="511" t="s">
        <v>144</v>
      </c>
      <c r="L12" s="511" t="s">
        <v>144</v>
      </c>
      <c r="M12" s="545" t="s">
        <v>144</v>
      </c>
      <c r="N12" s="511" t="s">
        <v>144</v>
      </c>
      <c r="O12" s="511" t="s">
        <v>144</v>
      </c>
      <c r="P12" s="511" t="s">
        <v>144</v>
      </c>
      <c r="Q12" s="511" t="s">
        <v>144</v>
      </c>
      <c r="R12" s="511" t="s">
        <v>144</v>
      </c>
      <c r="S12" s="511" t="s">
        <v>144</v>
      </c>
      <c r="U12" s="933"/>
    </row>
    <row r="13" spans="1:21" ht="15" hidden="1" customHeight="1" x14ac:dyDescent="0.25">
      <c r="A13" s="516"/>
      <c r="B13" s="1079" t="s">
        <v>19</v>
      </c>
      <c r="C13" s="1080"/>
      <c r="D13" s="1080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2"/>
      <c r="U13" s="933"/>
    </row>
    <row r="14" spans="1:21" ht="12.75" hidden="1" customHeight="1" x14ac:dyDescent="0.25">
      <c r="A14" s="516"/>
      <c r="B14" s="777" t="s">
        <v>375</v>
      </c>
      <c r="C14" s="750"/>
      <c r="E14" s="778"/>
      <c r="F14" s="779"/>
      <c r="G14" s="785"/>
      <c r="H14" s="780"/>
      <c r="I14" s="512"/>
      <c r="J14" s="512"/>
      <c r="K14" s="512"/>
      <c r="L14" s="512"/>
      <c r="M14" s="850"/>
      <c r="N14" s="512"/>
      <c r="O14" s="512"/>
      <c r="P14" s="512"/>
      <c r="Q14" s="512"/>
      <c r="R14" s="512"/>
      <c r="S14" s="513"/>
      <c r="U14" s="933"/>
    </row>
    <row r="15" spans="1:21" ht="12.75" hidden="1" customHeight="1" x14ac:dyDescent="0.25">
      <c r="A15" s="516"/>
      <c r="B15" s="784" t="s">
        <v>22</v>
      </c>
      <c r="C15" s="907"/>
      <c r="E15" s="778"/>
      <c r="F15" s="779"/>
      <c r="G15" s="786"/>
      <c r="H15" s="511"/>
      <c r="I15" s="512">
        <v>117</v>
      </c>
      <c r="J15" s="512"/>
      <c r="K15" s="512"/>
      <c r="L15" s="512"/>
      <c r="M15" s="850"/>
      <c r="N15" s="512"/>
      <c r="O15" s="512"/>
      <c r="P15" s="512"/>
      <c r="Q15" s="512"/>
      <c r="R15" s="512"/>
      <c r="S15" s="513"/>
      <c r="U15" s="933"/>
    </row>
    <row r="16" spans="1:21" hidden="1" x14ac:dyDescent="0.25">
      <c r="A16" s="516"/>
      <c r="B16" s="784" t="s">
        <v>23</v>
      </c>
      <c r="C16" s="907"/>
      <c r="E16" s="778"/>
      <c r="F16" s="779"/>
      <c r="G16" s="781"/>
      <c r="H16" s="511"/>
      <c r="I16" s="512">
        <v>93</v>
      </c>
      <c r="J16" s="512"/>
      <c r="K16" s="512"/>
      <c r="L16" s="512"/>
      <c r="M16" s="850"/>
      <c r="N16" s="512"/>
      <c r="O16" s="512"/>
      <c r="P16" s="512"/>
      <c r="Q16" s="512"/>
      <c r="R16" s="512"/>
      <c r="S16" s="513"/>
    </row>
    <row r="17" spans="1:19" hidden="1" x14ac:dyDescent="0.25">
      <c r="A17" s="516"/>
      <c r="B17" s="784" t="s">
        <v>199</v>
      </c>
      <c r="C17" s="907"/>
      <c r="E17" s="778"/>
      <c r="F17" s="779"/>
      <c r="G17" s="787"/>
      <c r="H17" s="511"/>
      <c r="I17" s="512"/>
      <c r="J17" s="512"/>
      <c r="K17" s="512"/>
      <c r="L17" s="512"/>
      <c r="M17" s="850"/>
      <c r="N17" s="512"/>
      <c r="O17" s="512"/>
      <c r="P17" s="512"/>
      <c r="Q17" s="512"/>
      <c r="R17" s="512"/>
      <c r="S17" s="513"/>
    </row>
    <row r="18" spans="1:19" hidden="1" x14ac:dyDescent="0.25">
      <c r="A18" s="516"/>
      <c r="B18" s="782" t="s">
        <v>376</v>
      </c>
      <c r="C18" s="750"/>
      <c r="E18" s="778"/>
      <c r="F18" s="779"/>
      <c r="G18" s="510"/>
      <c r="H18" s="519"/>
      <c r="I18" s="520"/>
      <c r="J18" s="520"/>
      <c r="K18" s="520"/>
      <c r="L18" s="520"/>
      <c r="M18" s="975"/>
      <c r="N18" s="520"/>
      <c r="O18" s="520"/>
      <c r="P18" s="520"/>
      <c r="Q18" s="520"/>
      <c r="R18" s="520"/>
      <c r="S18" s="521"/>
    </row>
    <row r="19" spans="1:19" hidden="1" x14ac:dyDescent="0.25">
      <c r="A19" s="516"/>
      <c r="B19" s="782" t="s">
        <v>377</v>
      </c>
      <c r="C19" s="750"/>
      <c r="E19" s="778"/>
      <c r="F19" s="779"/>
      <c r="G19" s="523"/>
      <c r="H19" s="519"/>
      <c r="I19" s="520"/>
      <c r="J19" s="520"/>
      <c r="K19" s="520"/>
      <c r="L19" s="520"/>
      <c r="M19" s="975"/>
      <c r="N19" s="520"/>
      <c r="O19" s="520"/>
      <c r="P19" s="520"/>
      <c r="Q19" s="520"/>
      <c r="R19" s="520"/>
      <c r="S19" s="521"/>
    </row>
    <row r="20" spans="1:19" hidden="1" x14ac:dyDescent="0.25">
      <c r="A20" s="516"/>
      <c r="B20" s="782" t="s">
        <v>378</v>
      </c>
      <c r="C20" s="750"/>
      <c r="E20" s="778"/>
      <c r="F20" s="779"/>
      <c r="G20" s="523"/>
      <c r="H20" s="519"/>
      <c r="I20" s="520"/>
      <c r="J20" s="520"/>
      <c r="K20" s="520"/>
      <c r="L20" s="520"/>
      <c r="M20" s="975"/>
      <c r="N20" s="520"/>
      <c r="O20" s="520"/>
      <c r="P20" s="520"/>
      <c r="Q20" s="520"/>
      <c r="R20" s="520"/>
      <c r="S20" s="521"/>
    </row>
    <row r="21" spans="1:19" ht="37.5" hidden="1" customHeight="1" x14ac:dyDescent="0.25">
      <c r="A21" s="516"/>
      <c r="B21" s="782" t="s">
        <v>379</v>
      </c>
      <c r="C21" s="750"/>
      <c r="E21" s="778"/>
      <c r="F21" s="779"/>
      <c r="G21" s="523"/>
      <c r="H21" s="519"/>
      <c r="I21" s="520"/>
      <c r="J21" s="520"/>
      <c r="K21" s="520"/>
      <c r="L21" s="520"/>
      <c r="M21" s="975"/>
      <c r="N21" s="520"/>
      <c r="O21" s="520"/>
      <c r="P21" s="520"/>
      <c r="Q21" s="520"/>
      <c r="R21" s="520"/>
      <c r="S21" s="521"/>
    </row>
    <row r="22" spans="1:19" ht="40.5" hidden="1" customHeight="1" x14ac:dyDescent="0.25">
      <c r="A22" s="516"/>
      <c r="B22" s="782" t="s">
        <v>380</v>
      </c>
      <c r="C22" s="750"/>
      <c r="E22" s="778"/>
      <c r="F22" s="779"/>
      <c r="G22" s="523"/>
      <c r="H22" s="519"/>
      <c r="I22" s="520"/>
      <c r="J22" s="520"/>
      <c r="K22" s="520"/>
      <c r="L22" s="520"/>
      <c r="M22" s="975"/>
      <c r="N22" s="520"/>
      <c r="O22" s="520"/>
      <c r="P22" s="520"/>
      <c r="Q22" s="520"/>
      <c r="R22" s="520"/>
      <c r="S22" s="521"/>
    </row>
    <row r="23" spans="1:19" ht="36.75" hidden="1" customHeight="1" x14ac:dyDescent="0.25">
      <c r="A23" s="516"/>
      <c r="B23" s="783" t="s">
        <v>381</v>
      </c>
      <c r="C23" s="908"/>
      <c r="D23" s="876"/>
      <c r="E23" s="778"/>
      <c r="F23" s="779"/>
      <c r="G23" s="515"/>
      <c r="H23" s="524"/>
      <c r="I23" s="525"/>
      <c r="J23" s="525"/>
      <c r="K23" s="525"/>
      <c r="L23" s="525"/>
      <c r="M23" s="551"/>
      <c r="N23" s="525"/>
      <c r="O23" s="525"/>
      <c r="P23" s="525"/>
      <c r="Q23" s="525"/>
      <c r="R23" s="525"/>
      <c r="S23" s="526"/>
    </row>
    <row r="24" spans="1:19" s="655" customFormat="1" ht="15.95" customHeight="1" x14ac:dyDescent="0.25">
      <c r="A24" s="654"/>
      <c r="B24" s="1079" t="s">
        <v>293</v>
      </c>
      <c r="C24" s="1080"/>
      <c r="D24" s="1080"/>
      <c r="E24" s="1080"/>
      <c r="F24" s="1080"/>
      <c r="G24" s="1080"/>
      <c r="H24" s="1080"/>
      <c r="I24" s="1080"/>
      <c r="J24" s="1080"/>
      <c r="K24" s="1080"/>
      <c r="L24" s="1080"/>
      <c r="M24" s="1080"/>
      <c r="N24" s="1080"/>
      <c r="O24" s="1080"/>
      <c r="P24" s="1080"/>
      <c r="Q24" s="1080"/>
      <c r="R24" s="1080"/>
      <c r="S24" s="1081"/>
    </row>
    <row r="25" spans="1:19" ht="15" customHeight="1" x14ac:dyDescent="0.25">
      <c r="A25" s="516"/>
      <c r="B25" s="509" t="s">
        <v>277</v>
      </c>
      <c r="C25" s="750" t="s">
        <v>392</v>
      </c>
      <c r="E25" s="717">
        <v>0</v>
      </c>
      <c r="F25" s="718">
        <v>3435</v>
      </c>
      <c r="G25" s="722">
        <f t="shared" ref="G25:G43" si="0">SUM(H25:S25)</f>
        <v>3652</v>
      </c>
      <c r="H25" s="511">
        <v>320</v>
      </c>
      <c r="I25" s="512">
        <v>317</v>
      </c>
      <c r="J25" s="512">
        <v>314</v>
      </c>
      <c r="K25" s="512">
        <v>305</v>
      </c>
      <c r="L25" s="512">
        <v>301</v>
      </c>
      <c r="M25" s="512">
        <v>304</v>
      </c>
      <c r="N25" s="512">
        <v>303</v>
      </c>
      <c r="O25" s="512">
        <v>298</v>
      </c>
      <c r="P25" s="512">
        <v>294</v>
      </c>
      <c r="Q25" s="512">
        <v>297</v>
      </c>
      <c r="R25" s="512">
        <v>299</v>
      </c>
      <c r="S25" s="527">
        <v>300</v>
      </c>
    </row>
    <row r="26" spans="1:19" ht="15" customHeight="1" x14ac:dyDescent="0.25">
      <c r="A26" s="516"/>
      <c r="B26" s="762" t="s">
        <v>22</v>
      </c>
      <c r="C26" s="750" t="s">
        <v>392</v>
      </c>
      <c r="E26" s="719">
        <v>0</v>
      </c>
      <c r="F26" s="720">
        <v>1807</v>
      </c>
      <c r="G26" s="723">
        <f t="shared" si="0"/>
        <v>2028</v>
      </c>
      <c r="H26" s="511">
        <v>174</v>
      </c>
      <c r="I26" s="512">
        <v>176</v>
      </c>
      <c r="J26" s="512">
        <v>174</v>
      </c>
      <c r="K26" s="512">
        <v>171</v>
      </c>
      <c r="L26" s="512">
        <v>168</v>
      </c>
      <c r="M26" s="512">
        <v>170</v>
      </c>
      <c r="N26" s="512">
        <v>168</v>
      </c>
      <c r="O26" s="512">
        <v>165</v>
      </c>
      <c r="P26" s="512">
        <v>162</v>
      </c>
      <c r="Q26" s="512">
        <v>165</v>
      </c>
      <c r="R26" s="512">
        <v>168</v>
      </c>
      <c r="S26" s="527">
        <v>167</v>
      </c>
    </row>
    <row r="27" spans="1:19" ht="15" customHeight="1" x14ac:dyDescent="0.25">
      <c r="A27" s="516"/>
      <c r="B27" s="762" t="s">
        <v>23</v>
      </c>
      <c r="C27" s="750" t="s">
        <v>392</v>
      </c>
      <c r="E27" s="719">
        <v>0</v>
      </c>
      <c r="F27" s="720">
        <v>1664</v>
      </c>
      <c r="G27" s="723">
        <f t="shared" si="0"/>
        <v>1624</v>
      </c>
      <c r="H27" s="511">
        <v>146</v>
      </c>
      <c r="I27" s="512">
        <v>141</v>
      </c>
      <c r="J27" s="512">
        <v>140</v>
      </c>
      <c r="K27" s="512">
        <v>134</v>
      </c>
      <c r="L27" s="512">
        <v>133</v>
      </c>
      <c r="M27" s="512">
        <v>134</v>
      </c>
      <c r="N27" s="512">
        <v>135</v>
      </c>
      <c r="O27" s="512">
        <v>133</v>
      </c>
      <c r="P27" s="512">
        <v>132</v>
      </c>
      <c r="Q27" s="512">
        <v>132</v>
      </c>
      <c r="R27" s="512">
        <v>131</v>
      </c>
      <c r="S27" s="527">
        <v>133</v>
      </c>
    </row>
    <row r="28" spans="1:19" ht="15" customHeight="1" x14ac:dyDescent="0.25">
      <c r="A28" s="516"/>
      <c r="B28" s="762" t="s">
        <v>398</v>
      </c>
      <c r="C28" s="750"/>
      <c r="E28" s="719"/>
      <c r="F28" s="720"/>
      <c r="G28" s="723"/>
      <c r="H28" s="511">
        <v>259</v>
      </c>
      <c r="I28" s="512">
        <v>256</v>
      </c>
      <c r="J28" s="512">
        <v>253</v>
      </c>
      <c r="K28" s="512">
        <v>246</v>
      </c>
      <c r="L28" s="512">
        <v>241</v>
      </c>
      <c r="M28" s="512">
        <v>243</v>
      </c>
      <c r="N28" s="512">
        <v>242</v>
      </c>
      <c r="O28" s="512">
        <v>239</v>
      </c>
      <c r="P28" s="512">
        <v>235</v>
      </c>
      <c r="Q28" s="512">
        <v>237</v>
      </c>
      <c r="R28" s="512">
        <v>238</v>
      </c>
      <c r="S28" s="527">
        <v>237</v>
      </c>
    </row>
    <row r="29" spans="1:19" ht="15" customHeight="1" x14ac:dyDescent="0.25">
      <c r="A29" s="516"/>
      <c r="B29" s="762" t="s">
        <v>399</v>
      </c>
      <c r="C29" s="750"/>
      <c r="E29" s="719"/>
      <c r="F29" s="720"/>
      <c r="G29" s="723"/>
      <c r="H29" s="511">
        <v>30</v>
      </c>
      <c r="I29" s="512">
        <v>30</v>
      </c>
      <c r="J29" s="512">
        <v>29</v>
      </c>
      <c r="K29" s="512">
        <v>30</v>
      </c>
      <c r="L29" s="512">
        <v>31</v>
      </c>
      <c r="M29" s="512">
        <v>33</v>
      </c>
      <c r="N29" s="696">
        <v>33</v>
      </c>
      <c r="O29" s="512">
        <v>33</v>
      </c>
      <c r="P29" s="512">
        <v>32</v>
      </c>
      <c r="Q29" s="512">
        <v>33</v>
      </c>
      <c r="R29" s="696">
        <v>34</v>
      </c>
      <c r="S29" s="527">
        <v>34</v>
      </c>
    </row>
    <row r="30" spans="1:19" ht="15" customHeight="1" x14ac:dyDescent="0.25">
      <c r="A30" s="516"/>
      <c r="B30" s="762" t="s">
        <v>401</v>
      </c>
      <c r="C30" s="750"/>
      <c r="E30" s="719"/>
      <c r="F30" s="720"/>
      <c r="G30" s="723"/>
      <c r="H30" s="511">
        <v>25</v>
      </c>
      <c r="I30" s="512">
        <v>25</v>
      </c>
      <c r="J30" s="512">
        <v>25</v>
      </c>
      <c r="K30" s="512">
        <v>24</v>
      </c>
      <c r="L30" s="512">
        <v>24</v>
      </c>
      <c r="M30" s="512">
        <v>23</v>
      </c>
      <c r="N30" s="512">
        <v>23</v>
      </c>
      <c r="O30" s="512">
        <v>20</v>
      </c>
      <c r="P30" s="512">
        <v>20</v>
      </c>
      <c r="Q30" s="512">
        <v>21</v>
      </c>
      <c r="R30" s="512">
        <v>21</v>
      </c>
      <c r="S30" s="527">
        <v>21</v>
      </c>
    </row>
    <row r="31" spans="1:19" ht="15" customHeight="1" x14ac:dyDescent="0.25">
      <c r="A31" s="516"/>
      <c r="B31" s="762" t="s">
        <v>400</v>
      </c>
      <c r="C31" s="750"/>
      <c r="E31" s="719"/>
      <c r="F31" s="720"/>
      <c r="G31" s="723"/>
      <c r="H31" s="511">
        <v>6</v>
      </c>
      <c r="I31" s="512">
        <v>6</v>
      </c>
      <c r="J31" s="512">
        <v>7</v>
      </c>
      <c r="K31" s="512">
        <v>5</v>
      </c>
      <c r="L31" s="512">
        <v>5</v>
      </c>
      <c r="M31" s="512">
        <v>5</v>
      </c>
      <c r="N31" s="512">
        <v>5</v>
      </c>
      <c r="O31" s="512">
        <v>6</v>
      </c>
      <c r="P31" s="512">
        <v>6</v>
      </c>
      <c r="Q31" s="512">
        <v>6</v>
      </c>
      <c r="R31" s="512">
        <v>6</v>
      </c>
      <c r="S31" s="527">
        <v>8</v>
      </c>
    </row>
    <row r="32" spans="1:19" ht="15" customHeight="1" x14ac:dyDescent="0.25">
      <c r="A32" s="516"/>
      <c r="B32" s="762" t="s">
        <v>278</v>
      </c>
      <c r="C32" s="750" t="s">
        <v>392</v>
      </c>
      <c r="E32" s="719">
        <v>0</v>
      </c>
      <c r="F32" s="720">
        <v>1429</v>
      </c>
      <c r="G32" s="723">
        <f t="shared" si="0"/>
        <v>922</v>
      </c>
      <c r="H32" s="511">
        <v>91</v>
      </c>
      <c r="I32" s="512">
        <v>98</v>
      </c>
      <c r="J32" s="512">
        <v>93</v>
      </c>
      <c r="K32" s="512">
        <v>88</v>
      </c>
      <c r="L32" s="512">
        <v>85</v>
      </c>
      <c r="M32" s="512">
        <v>80</v>
      </c>
      <c r="N32" s="512">
        <v>72</v>
      </c>
      <c r="O32" s="512">
        <v>70</v>
      </c>
      <c r="P32" s="512">
        <v>63</v>
      </c>
      <c r="Q32" s="512">
        <v>62</v>
      </c>
      <c r="R32" s="512">
        <v>63</v>
      </c>
      <c r="S32" s="527">
        <v>57</v>
      </c>
    </row>
    <row r="33" spans="1:19" ht="15" customHeight="1" x14ac:dyDescent="0.25">
      <c r="A33" s="516"/>
      <c r="B33" s="762" t="s">
        <v>279</v>
      </c>
      <c r="C33" s="750" t="s">
        <v>392</v>
      </c>
      <c r="E33" s="719">
        <v>0</v>
      </c>
      <c r="F33" s="720">
        <v>949</v>
      </c>
      <c r="G33" s="723">
        <f t="shared" si="0"/>
        <v>905</v>
      </c>
      <c r="H33" s="511">
        <v>70</v>
      </c>
      <c r="I33" s="512">
        <v>63</v>
      </c>
      <c r="J33" s="512">
        <v>64</v>
      </c>
      <c r="K33" s="512">
        <v>71</v>
      </c>
      <c r="L33" s="512">
        <v>73</v>
      </c>
      <c r="M33" s="512">
        <v>76</v>
      </c>
      <c r="N33" s="512">
        <v>81</v>
      </c>
      <c r="O33" s="512">
        <v>81</v>
      </c>
      <c r="P33" s="512">
        <v>77</v>
      </c>
      <c r="Q33" s="512">
        <v>78</v>
      </c>
      <c r="R33" s="512">
        <v>84</v>
      </c>
      <c r="S33" s="527">
        <v>87</v>
      </c>
    </row>
    <row r="34" spans="1:19" ht="15" customHeight="1" x14ac:dyDescent="0.25">
      <c r="A34" s="516"/>
      <c r="B34" s="762" t="s">
        <v>280</v>
      </c>
      <c r="C34" s="750" t="s">
        <v>392</v>
      </c>
      <c r="E34" s="719">
        <v>0</v>
      </c>
      <c r="F34" s="720">
        <v>1093</v>
      </c>
      <c r="G34" s="723">
        <f t="shared" si="0"/>
        <v>1825</v>
      </c>
      <c r="H34" s="511">
        <v>159</v>
      </c>
      <c r="I34" s="512">
        <v>156</v>
      </c>
      <c r="J34" s="512">
        <v>157</v>
      </c>
      <c r="K34" s="512">
        <v>146</v>
      </c>
      <c r="L34" s="512">
        <v>143</v>
      </c>
      <c r="M34" s="512">
        <v>148</v>
      </c>
      <c r="N34" s="512">
        <v>150</v>
      </c>
      <c r="O34" s="512">
        <v>147</v>
      </c>
      <c r="P34" s="512">
        <v>154</v>
      </c>
      <c r="Q34" s="512">
        <v>157</v>
      </c>
      <c r="R34" s="512">
        <v>152</v>
      </c>
      <c r="S34" s="527">
        <v>156</v>
      </c>
    </row>
    <row r="35" spans="1:19" ht="27" customHeight="1" x14ac:dyDescent="0.25">
      <c r="A35" s="516"/>
      <c r="B35" s="528" t="s">
        <v>287</v>
      </c>
      <c r="C35" s="750" t="s">
        <v>392</v>
      </c>
      <c r="D35" s="876"/>
      <c r="E35" s="719">
        <v>0</v>
      </c>
      <c r="F35" s="720">
        <v>211</v>
      </c>
      <c r="G35" s="723">
        <f t="shared" si="0"/>
        <v>448</v>
      </c>
      <c r="H35" s="511">
        <v>57</v>
      </c>
      <c r="I35" s="512">
        <v>58</v>
      </c>
      <c r="J35" s="512">
        <v>37</v>
      </c>
      <c r="K35" s="512">
        <v>38</v>
      </c>
      <c r="L35" s="512">
        <v>36</v>
      </c>
      <c r="M35" s="512">
        <v>33</v>
      </c>
      <c r="N35" s="512">
        <v>29</v>
      </c>
      <c r="O35" s="512">
        <v>31</v>
      </c>
      <c r="P35" s="512">
        <v>31</v>
      </c>
      <c r="Q35" s="512">
        <v>31</v>
      </c>
      <c r="R35" s="512">
        <v>34</v>
      </c>
      <c r="S35" s="527">
        <v>33</v>
      </c>
    </row>
    <row r="36" spans="1:19" ht="15" customHeight="1" x14ac:dyDescent="0.25">
      <c r="A36" s="516"/>
      <c r="B36" s="522" t="s">
        <v>288</v>
      </c>
      <c r="C36" s="750" t="s">
        <v>392</v>
      </c>
      <c r="E36" s="719">
        <v>0</v>
      </c>
      <c r="F36" s="720">
        <v>212</v>
      </c>
      <c r="G36" s="723">
        <f t="shared" si="0"/>
        <v>58</v>
      </c>
      <c r="H36" s="511">
        <v>5</v>
      </c>
      <c r="I36" s="512">
        <v>7</v>
      </c>
      <c r="J36" s="512">
        <v>4</v>
      </c>
      <c r="K36" s="561">
        <v>5</v>
      </c>
      <c r="L36" s="512">
        <v>2</v>
      </c>
      <c r="M36" s="512">
        <v>11</v>
      </c>
      <c r="N36" s="512">
        <v>2</v>
      </c>
      <c r="O36" s="512">
        <v>1</v>
      </c>
      <c r="P36" s="512">
        <v>1</v>
      </c>
      <c r="Q36" s="512">
        <v>7</v>
      </c>
      <c r="R36" s="512">
        <v>7</v>
      </c>
      <c r="S36" s="527">
        <v>6</v>
      </c>
    </row>
    <row r="37" spans="1:19" ht="15" customHeight="1" x14ac:dyDescent="0.25">
      <c r="A37" s="516"/>
      <c r="B37" s="522" t="s">
        <v>289</v>
      </c>
      <c r="C37" s="750" t="s">
        <v>392</v>
      </c>
      <c r="E37" s="719">
        <v>0</v>
      </c>
      <c r="F37" s="720">
        <v>213</v>
      </c>
      <c r="G37" s="723">
        <f t="shared" si="0"/>
        <v>79</v>
      </c>
      <c r="H37" s="511">
        <v>4</v>
      </c>
      <c r="I37" s="512">
        <v>9</v>
      </c>
      <c r="J37" s="512">
        <v>8</v>
      </c>
      <c r="K37" s="561">
        <v>10</v>
      </c>
      <c r="L37" s="512">
        <v>12</v>
      </c>
      <c r="M37" s="512">
        <v>5</v>
      </c>
      <c r="N37" s="512">
        <v>4</v>
      </c>
      <c r="O37" s="512">
        <v>4</v>
      </c>
      <c r="P37" s="512">
        <v>7</v>
      </c>
      <c r="Q37" s="512">
        <v>4</v>
      </c>
      <c r="R37" s="512">
        <v>5</v>
      </c>
      <c r="S37" s="527">
        <v>7</v>
      </c>
    </row>
    <row r="38" spans="1:19" ht="15" customHeight="1" x14ac:dyDescent="0.25">
      <c r="A38" s="516"/>
      <c r="B38" s="762" t="s">
        <v>113</v>
      </c>
      <c r="C38" s="750" t="s">
        <v>392</v>
      </c>
      <c r="E38" s="719">
        <v>0</v>
      </c>
      <c r="F38" s="720">
        <v>214</v>
      </c>
      <c r="G38" s="723">
        <f t="shared" si="0"/>
        <v>25</v>
      </c>
      <c r="H38" s="511">
        <v>4</v>
      </c>
      <c r="I38" s="531">
        <v>2</v>
      </c>
      <c r="J38" s="531">
        <v>3</v>
      </c>
      <c r="K38" s="859">
        <v>6</v>
      </c>
      <c r="L38" s="531">
        <v>4</v>
      </c>
      <c r="M38" s="531">
        <v>0</v>
      </c>
      <c r="N38" s="531">
        <v>0</v>
      </c>
      <c r="O38" s="531">
        <v>2</v>
      </c>
      <c r="P38" s="531">
        <v>1</v>
      </c>
      <c r="Q38" s="531">
        <v>0</v>
      </c>
      <c r="R38" s="512">
        <v>1</v>
      </c>
      <c r="S38" s="532">
        <v>2</v>
      </c>
    </row>
    <row r="39" spans="1:19" ht="15" customHeight="1" x14ac:dyDescent="0.25">
      <c r="A39" s="516"/>
      <c r="B39" s="762" t="s">
        <v>139</v>
      </c>
      <c r="C39" s="750" t="s">
        <v>392</v>
      </c>
      <c r="E39" s="719">
        <v>0</v>
      </c>
      <c r="F39" s="720">
        <v>215</v>
      </c>
      <c r="G39" s="723">
        <f t="shared" si="0"/>
        <v>0</v>
      </c>
      <c r="H39" s="511">
        <v>0</v>
      </c>
      <c r="I39" s="531">
        <v>0</v>
      </c>
      <c r="J39" s="531">
        <v>0</v>
      </c>
      <c r="K39" s="859">
        <v>0</v>
      </c>
      <c r="L39" s="531">
        <v>0</v>
      </c>
      <c r="M39" s="531">
        <v>0</v>
      </c>
      <c r="N39" s="531">
        <v>0</v>
      </c>
      <c r="O39" s="531">
        <v>0</v>
      </c>
      <c r="P39" s="531">
        <v>0</v>
      </c>
      <c r="Q39" s="531">
        <v>0</v>
      </c>
      <c r="R39" s="512">
        <v>0</v>
      </c>
      <c r="S39" s="532">
        <v>0</v>
      </c>
    </row>
    <row r="40" spans="1:19" ht="15" customHeight="1" x14ac:dyDescent="0.25">
      <c r="A40" s="516"/>
      <c r="B40" s="762" t="s">
        <v>114</v>
      </c>
      <c r="C40" s="750" t="s">
        <v>392</v>
      </c>
      <c r="E40" s="719">
        <v>0</v>
      </c>
      <c r="F40" s="720">
        <v>216</v>
      </c>
      <c r="G40" s="723">
        <f t="shared" si="0"/>
        <v>18</v>
      </c>
      <c r="H40" s="511">
        <v>0</v>
      </c>
      <c r="I40" s="531">
        <v>1</v>
      </c>
      <c r="J40" s="531">
        <v>1</v>
      </c>
      <c r="K40" s="859">
        <v>1</v>
      </c>
      <c r="L40" s="531">
        <v>2</v>
      </c>
      <c r="M40" s="531">
        <v>3</v>
      </c>
      <c r="N40" s="531">
        <v>1</v>
      </c>
      <c r="O40" s="531">
        <v>1</v>
      </c>
      <c r="P40" s="531">
        <v>4</v>
      </c>
      <c r="Q40" s="531">
        <v>1</v>
      </c>
      <c r="R40" s="512">
        <v>2</v>
      </c>
      <c r="S40" s="532">
        <v>1</v>
      </c>
    </row>
    <row r="41" spans="1:19" ht="15" customHeight="1" x14ac:dyDescent="0.25">
      <c r="A41" s="516"/>
      <c r="B41" s="762" t="s">
        <v>115</v>
      </c>
      <c r="C41" s="750" t="s">
        <v>392</v>
      </c>
      <c r="E41" s="719">
        <v>0</v>
      </c>
      <c r="F41" s="720">
        <v>217</v>
      </c>
      <c r="G41" s="723">
        <f t="shared" si="0"/>
        <v>15</v>
      </c>
      <c r="H41" s="511">
        <v>0</v>
      </c>
      <c r="I41" s="531">
        <v>3</v>
      </c>
      <c r="J41" s="531">
        <v>0</v>
      </c>
      <c r="K41" s="859">
        <v>2</v>
      </c>
      <c r="L41" s="531">
        <v>5</v>
      </c>
      <c r="M41" s="531">
        <v>0</v>
      </c>
      <c r="N41" s="531">
        <v>1</v>
      </c>
      <c r="O41" s="531">
        <v>0</v>
      </c>
      <c r="P41" s="531">
        <v>0</v>
      </c>
      <c r="Q41" s="531">
        <v>1</v>
      </c>
      <c r="R41" s="512">
        <v>1</v>
      </c>
      <c r="S41" s="532">
        <v>2</v>
      </c>
    </row>
    <row r="42" spans="1:19" ht="15" customHeight="1" x14ac:dyDescent="0.25">
      <c r="A42" s="516"/>
      <c r="B42" s="762" t="s">
        <v>290</v>
      </c>
      <c r="C42" s="750" t="s">
        <v>392</v>
      </c>
      <c r="E42" s="719">
        <v>0</v>
      </c>
      <c r="F42" s="720">
        <v>218</v>
      </c>
      <c r="G42" s="723">
        <f t="shared" si="0"/>
        <v>16</v>
      </c>
      <c r="H42" s="511">
        <v>0</v>
      </c>
      <c r="I42" s="531">
        <v>2</v>
      </c>
      <c r="J42" s="531">
        <v>1</v>
      </c>
      <c r="K42" s="859">
        <v>1</v>
      </c>
      <c r="L42" s="531">
        <v>2</v>
      </c>
      <c r="M42" s="531">
        <v>2</v>
      </c>
      <c r="N42" s="531">
        <v>2</v>
      </c>
      <c r="O42" s="531">
        <v>1</v>
      </c>
      <c r="P42" s="531">
        <v>2</v>
      </c>
      <c r="Q42" s="531">
        <v>1</v>
      </c>
      <c r="R42" s="512">
        <v>2</v>
      </c>
      <c r="S42" s="532">
        <v>0</v>
      </c>
    </row>
    <row r="43" spans="1:19" ht="15" customHeight="1" x14ac:dyDescent="0.25">
      <c r="A43" s="516"/>
      <c r="B43" s="761" t="s">
        <v>281</v>
      </c>
      <c r="C43" s="750" t="s">
        <v>392</v>
      </c>
      <c r="D43" s="877"/>
      <c r="E43" s="721">
        <v>0</v>
      </c>
      <c r="F43" s="720">
        <v>219</v>
      </c>
      <c r="G43" s="723">
        <f t="shared" si="0"/>
        <v>3</v>
      </c>
      <c r="H43" s="665">
        <v>0</v>
      </c>
      <c r="I43" s="669">
        <v>1</v>
      </c>
      <c r="J43" s="669">
        <v>0</v>
      </c>
      <c r="K43" s="860">
        <v>0</v>
      </c>
      <c r="L43" s="669">
        <v>0</v>
      </c>
      <c r="M43" s="669">
        <v>0</v>
      </c>
      <c r="N43" s="669">
        <v>0</v>
      </c>
      <c r="O43" s="669">
        <v>0</v>
      </c>
      <c r="P43" s="669">
        <v>0</v>
      </c>
      <c r="Q43" s="669">
        <v>0</v>
      </c>
      <c r="R43" s="512">
        <v>0</v>
      </c>
      <c r="S43" s="560">
        <v>2</v>
      </c>
    </row>
    <row r="44" spans="1:19" s="655" customFormat="1" ht="15.95" customHeight="1" x14ac:dyDescent="0.25">
      <c r="A44" s="654"/>
      <c r="B44" s="1051" t="s">
        <v>292</v>
      </c>
      <c r="C44" s="1052"/>
      <c r="D44" s="1052"/>
      <c r="E44" s="1052"/>
      <c r="F44" s="1052"/>
      <c r="G44" s="1052"/>
      <c r="H44" s="1052"/>
      <c r="I44" s="1052"/>
      <c r="J44" s="1052"/>
      <c r="K44" s="1052"/>
      <c r="L44" s="1052"/>
      <c r="M44" s="1052"/>
      <c r="N44" s="1052"/>
      <c r="O44" s="1052"/>
      <c r="P44" s="1052"/>
      <c r="Q44" s="1052"/>
      <c r="R44" s="1052"/>
      <c r="S44" s="1053"/>
    </row>
    <row r="45" spans="1:19" ht="15" customHeight="1" x14ac:dyDescent="0.25">
      <c r="A45" s="516"/>
      <c r="B45" s="509" t="s">
        <v>291</v>
      </c>
      <c r="C45" s="902"/>
      <c r="D45" s="871"/>
      <c r="E45" s="662">
        <v>2</v>
      </c>
      <c r="F45" s="529">
        <v>5</v>
      </c>
      <c r="G45" s="653">
        <f>SUM(H45:S45)</f>
        <v>5</v>
      </c>
      <c r="H45" s="511">
        <v>0</v>
      </c>
      <c r="I45" s="531">
        <v>0</v>
      </c>
      <c r="J45" s="531">
        <v>2</v>
      </c>
      <c r="K45" s="859">
        <v>0</v>
      </c>
      <c r="L45" s="531">
        <v>3</v>
      </c>
      <c r="M45" s="531">
        <v>0</v>
      </c>
      <c r="N45" s="531">
        <v>0</v>
      </c>
      <c r="O45" s="531">
        <v>0</v>
      </c>
      <c r="P45" s="531">
        <v>0</v>
      </c>
      <c r="Q45" s="531">
        <v>0</v>
      </c>
      <c r="R45" s="531">
        <v>0</v>
      </c>
      <c r="S45" s="532">
        <v>0</v>
      </c>
    </row>
    <row r="46" spans="1:19" ht="15" customHeight="1" x14ac:dyDescent="0.25">
      <c r="A46" s="516"/>
      <c r="B46" s="522" t="s">
        <v>294</v>
      </c>
      <c r="C46" s="904"/>
      <c r="D46" s="873"/>
      <c r="E46" s="662">
        <v>19</v>
      </c>
      <c r="F46" s="517">
        <v>19</v>
      </c>
      <c r="G46" s="653">
        <f t="shared" ref="G46:G47" si="1">SUM(H46:S46)</f>
        <v>13</v>
      </c>
      <c r="H46" s="511">
        <v>0</v>
      </c>
      <c r="I46" s="531">
        <v>3</v>
      </c>
      <c r="J46" s="531">
        <v>1</v>
      </c>
      <c r="K46" s="859">
        <v>2</v>
      </c>
      <c r="L46" s="531">
        <v>2</v>
      </c>
      <c r="M46" s="531">
        <v>0</v>
      </c>
      <c r="N46" s="531">
        <v>1</v>
      </c>
      <c r="O46" s="531">
        <v>0</v>
      </c>
      <c r="P46" s="531">
        <v>0</v>
      </c>
      <c r="Q46" s="531">
        <v>1</v>
      </c>
      <c r="R46" s="531">
        <v>1</v>
      </c>
      <c r="S46" s="532">
        <v>2</v>
      </c>
    </row>
    <row r="47" spans="1:19" ht="15" customHeight="1" x14ac:dyDescent="0.25">
      <c r="A47" s="516"/>
      <c r="B47" s="522" t="s">
        <v>295</v>
      </c>
      <c r="C47" s="903"/>
      <c r="D47" s="872"/>
      <c r="E47" s="662">
        <v>17</v>
      </c>
      <c r="F47" s="530">
        <v>14</v>
      </c>
      <c r="G47" s="653">
        <f t="shared" si="1"/>
        <v>25</v>
      </c>
      <c r="H47" s="511">
        <v>0</v>
      </c>
      <c r="I47" s="531">
        <v>2</v>
      </c>
      <c r="J47" s="531">
        <v>4</v>
      </c>
      <c r="K47" s="859">
        <v>5</v>
      </c>
      <c r="L47" s="531">
        <v>3</v>
      </c>
      <c r="M47" s="531">
        <v>2</v>
      </c>
      <c r="N47" s="531">
        <v>4</v>
      </c>
      <c r="O47" s="531">
        <v>3</v>
      </c>
      <c r="P47" s="531">
        <v>2</v>
      </c>
      <c r="Q47" s="531">
        <v>0</v>
      </c>
      <c r="R47" s="531">
        <v>0</v>
      </c>
      <c r="S47" s="532">
        <v>0</v>
      </c>
    </row>
    <row r="48" spans="1:19" ht="15" hidden="1" customHeight="1" x14ac:dyDescent="0.25">
      <c r="A48" s="516"/>
      <c r="B48" s="522" t="s">
        <v>29</v>
      </c>
      <c r="C48" s="750"/>
      <c r="E48" s="1076"/>
      <c r="F48" s="1077"/>
      <c r="G48" s="1078"/>
      <c r="H48" s="519">
        <v>28</v>
      </c>
      <c r="I48" s="520">
        <v>29</v>
      </c>
      <c r="J48" s="520">
        <v>30</v>
      </c>
      <c r="K48" s="505" t="s">
        <v>136</v>
      </c>
      <c r="L48" s="520">
        <v>36</v>
      </c>
      <c r="M48" s="975">
        <v>36</v>
      </c>
      <c r="N48" s="520">
        <v>38</v>
      </c>
      <c r="O48" s="520">
        <v>30</v>
      </c>
      <c r="P48" s="520">
        <v>30</v>
      </c>
      <c r="Q48" s="520"/>
      <c r="R48" s="520"/>
      <c r="S48" s="532"/>
    </row>
    <row r="49" spans="1:19" ht="15" hidden="1" customHeight="1" x14ac:dyDescent="0.25">
      <c r="A49" s="516"/>
      <c r="B49" s="522" t="s">
        <v>30</v>
      </c>
      <c r="C49" s="750"/>
      <c r="E49" s="1076"/>
      <c r="F49" s="1077"/>
      <c r="G49" s="1078"/>
      <c r="H49" s="533">
        <v>23</v>
      </c>
      <c r="I49" s="533">
        <v>29</v>
      </c>
      <c r="J49" s="533">
        <v>21</v>
      </c>
      <c r="K49" s="505" t="s">
        <v>136</v>
      </c>
      <c r="L49" s="505" t="s">
        <v>136</v>
      </c>
      <c r="M49" s="976" t="s">
        <v>136</v>
      </c>
      <c r="N49" s="505" t="s">
        <v>136</v>
      </c>
      <c r="O49" s="505" t="s">
        <v>136</v>
      </c>
      <c r="P49" s="533"/>
      <c r="Q49" s="533"/>
      <c r="R49" s="520"/>
      <c r="S49" s="532"/>
    </row>
    <row r="50" spans="1:19" ht="15" hidden="1" customHeight="1" x14ac:dyDescent="0.25">
      <c r="A50" s="516"/>
      <c r="B50" s="522" t="s">
        <v>36</v>
      </c>
      <c r="C50" s="902"/>
      <c r="D50" s="871"/>
      <c r="E50" s="788">
        <v>52</v>
      </c>
      <c r="F50" s="789">
        <v>70</v>
      </c>
      <c r="G50" s="529">
        <f>SUM(H50:S50)</f>
        <v>12</v>
      </c>
      <c r="H50" s="519">
        <v>6</v>
      </c>
      <c r="I50" s="520">
        <v>6</v>
      </c>
      <c r="J50" s="505" t="s">
        <v>136</v>
      </c>
      <c r="K50" s="505" t="s">
        <v>136</v>
      </c>
      <c r="L50" s="505" t="s">
        <v>136</v>
      </c>
      <c r="M50" s="976" t="s">
        <v>136</v>
      </c>
      <c r="N50" s="505" t="s">
        <v>136</v>
      </c>
      <c r="O50" s="520">
        <v>0</v>
      </c>
      <c r="P50" s="520">
        <v>0</v>
      </c>
      <c r="Q50" s="520"/>
      <c r="R50" s="520"/>
      <c r="S50" s="521"/>
    </row>
    <row r="51" spans="1:19" ht="15" hidden="1" customHeight="1" x14ac:dyDescent="0.25">
      <c r="A51" s="516"/>
      <c r="B51" s="514" t="s">
        <v>35</v>
      </c>
      <c r="C51" s="903"/>
      <c r="D51" s="872"/>
      <c r="E51" s="790">
        <v>269</v>
      </c>
      <c r="F51" s="791">
        <v>300</v>
      </c>
      <c r="G51" s="530">
        <f>SUM(H51:S51)</f>
        <v>250</v>
      </c>
      <c r="H51" s="524">
        <v>33</v>
      </c>
      <c r="I51" s="525">
        <v>22</v>
      </c>
      <c r="J51" s="533">
        <v>17</v>
      </c>
      <c r="K51" s="533">
        <v>23</v>
      </c>
      <c r="L51" s="533">
        <v>23</v>
      </c>
      <c r="M51" s="977">
        <v>32</v>
      </c>
      <c r="N51" s="525">
        <v>30</v>
      </c>
      <c r="O51" s="525">
        <v>34</v>
      </c>
      <c r="P51" s="525">
        <v>36</v>
      </c>
      <c r="Q51" s="525"/>
      <c r="R51" s="525"/>
      <c r="S51" s="526"/>
    </row>
    <row r="52" spans="1:19" s="655" customFormat="1" ht="15.95" customHeight="1" x14ac:dyDescent="0.25">
      <c r="A52" s="654"/>
      <c r="B52" s="1079" t="s">
        <v>382</v>
      </c>
      <c r="C52" s="1080"/>
      <c r="D52" s="1080"/>
      <c r="E52" s="1080"/>
      <c r="F52" s="1080"/>
      <c r="G52" s="1080"/>
      <c r="H52" s="1080"/>
      <c r="I52" s="1080"/>
      <c r="J52" s="1080"/>
      <c r="K52" s="1080"/>
      <c r="L52" s="1080"/>
      <c r="M52" s="1080"/>
      <c r="N52" s="1080"/>
      <c r="O52" s="1080"/>
      <c r="P52" s="1080"/>
      <c r="Q52" s="1080"/>
      <c r="R52" s="1080"/>
      <c r="S52" s="1081"/>
    </row>
    <row r="53" spans="1:19" ht="15" customHeight="1" x14ac:dyDescent="0.25">
      <c r="A53" s="516"/>
      <c r="B53" s="509" t="s">
        <v>296</v>
      </c>
      <c r="C53" s="750"/>
      <c r="E53" s="724">
        <v>0</v>
      </c>
      <c r="F53" s="725">
        <v>988</v>
      </c>
      <c r="G53" s="722">
        <f>SUM(H53:S53)</f>
        <v>1078</v>
      </c>
      <c r="H53" s="511">
        <v>87</v>
      </c>
      <c r="I53" s="670">
        <v>86</v>
      </c>
      <c r="J53" s="670">
        <v>87</v>
      </c>
      <c r="K53" s="861">
        <v>87</v>
      </c>
      <c r="L53" s="670">
        <v>91</v>
      </c>
      <c r="M53" s="670">
        <v>91</v>
      </c>
      <c r="N53" s="670">
        <v>92</v>
      </c>
      <c r="O53" s="670">
        <v>89</v>
      </c>
      <c r="P53" s="670">
        <v>90</v>
      </c>
      <c r="Q53" s="670">
        <v>90</v>
      </c>
      <c r="R53" s="670">
        <v>88</v>
      </c>
      <c r="S53" s="671">
        <v>100</v>
      </c>
    </row>
    <row r="54" spans="1:19" ht="15" customHeight="1" x14ac:dyDescent="0.25">
      <c r="A54" s="516"/>
      <c r="B54" s="762" t="s">
        <v>297</v>
      </c>
      <c r="C54" s="907"/>
      <c r="E54" s="724">
        <v>0</v>
      </c>
      <c r="F54" s="725">
        <v>27</v>
      </c>
      <c r="G54" s="723">
        <f>SUM(H54:S54)</f>
        <v>23</v>
      </c>
      <c r="H54" s="511">
        <v>1</v>
      </c>
      <c r="I54" s="525">
        <v>2</v>
      </c>
      <c r="J54" s="525">
        <v>4</v>
      </c>
      <c r="K54" s="812">
        <v>2</v>
      </c>
      <c r="L54" s="525">
        <v>5</v>
      </c>
      <c r="M54" s="525">
        <v>2</v>
      </c>
      <c r="N54" s="525">
        <v>2</v>
      </c>
      <c r="O54" s="525">
        <v>0</v>
      </c>
      <c r="P54" s="525">
        <v>4</v>
      </c>
      <c r="Q54" s="525">
        <v>1</v>
      </c>
      <c r="R54" s="670">
        <v>0</v>
      </c>
      <c r="S54" s="526">
        <v>0</v>
      </c>
    </row>
    <row r="55" spans="1:19" ht="15" customHeight="1" x14ac:dyDescent="0.25">
      <c r="A55" s="516"/>
      <c r="B55" s="762" t="s">
        <v>298</v>
      </c>
      <c r="C55" s="907"/>
      <c r="E55" s="724">
        <v>0</v>
      </c>
      <c r="F55" s="725">
        <v>21</v>
      </c>
      <c r="G55" s="723">
        <f>SUM(H55:S55)</f>
        <v>23</v>
      </c>
      <c r="H55" s="511">
        <v>3</v>
      </c>
      <c r="I55" s="525">
        <v>3</v>
      </c>
      <c r="J55" s="525">
        <v>1</v>
      </c>
      <c r="K55" s="812">
        <v>1</v>
      </c>
      <c r="L55" s="525">
        <v>0</v>
      </c>
      <c r="M55" s="525">
        <v>1</v>
      </c>
      <c r="N55" s="525">
        <v>2</v>
      </c>
      <c r="O55" s="525">
        <v>4</v>
      </c>
      <c r="P55" s="525">
        <v>3</v>
      </c>
      <c r="Q55" s="525">
        <v>1</v>
      </c>
      <c r="R55" s="670">
        <v>2</v>
      </c>
      <c r="S55" s="526">
        <v>2</v>
      </c>
    </row>
    <row r="56" spans="1:19" ht="15" customHeight="1" x14ac:dyDescent="0.25">
      <c r="A56" s="516"/>
      <c r="B56" s="534" t="s">
        <v>299</v>
      </c>
      <c r="E56" s="724">
        <v>0</v>
      </c>
      <c r="F56" s="725">
        <v>195</v>
      </c>
      <c r="G56" s="723">
        <f>SUM(H56:S56)</f>
        <v>243</v>
      </c>
      <c r="H56" s="511">
        <v>16</v>
      </c>
      <c r="I56" s="525">
        <v>35</v>
      </c>
      <c r="J56" s="525">
        <v>22</v>
      </c>
      <c r="K56" s="812">
        <v>13</v>
      </c>
      <c r="L56" s="525">
        <v>22</v>
      </c>
      <c r="M56" s="525">
        <v>12</v>
      </c>
      <c r="N56" s="525">
        <v>19</v>
      </c>
      <c r="O56" s="525">
        <v>25</v>
      </c>
      <c r="P56" s="525">
        <v>26</v>
      </c>
      <c r="Q56" s="525">
        <v>15</v>
      </c>
      <c r="R56" s="670">
        <v>18</v>
      </c>
      <c r="S56" s="526">
        <v>20</v>
      </c>
    </row>
    <row r="57" spans="1:19" s="655" customFormat="1" ht="15.95" customHeight="1" x14ac:dyDescent="0.25">
      <c r="A57" s="654"/>
      <c r="B57" s="1051" t="s">
        <v>39</v>
      </c>
      <c r="C57" s="1052"/>
      <c r="D57" s="1052"/>
      <c r="E57" s="1052"/>
      <c r="F57" s="1052"/>
      <c r="G57" s="1052"/>
      <c r="H57" s="1052"/>
      <c r="I57" s="1052"/>
      <c r="J57" s="1052"/>
      <c r="K57" s="1052"/>
      <c r="L57" s="1052"/>
      <c r="M57" s="1052"/>
      <c r="N57" s="1052"/>
      <c r="O57" s="1052"/>
      <c r="P57" s="1052"/>
      <c r="Q57" s="1052"/>
      <c r="R57" s="1052"/>
      <c r="S57" s="1053"/>
    </row>
    <row r="58" spans="1:19" ht="15" customHeight="1" x14ac:dyDescent="0.25">
      <c r="A58" s="516"/>
      <c r="B58" s="536" t="s">
        <v>416</v>
      </c>
      <c r="C58" s="909"/>
      <c r="D58" s="871"/>
      <c r="E58" s="667">
        <v>177</v>
      </c>
      <c r="F58" s="510">
        <v>388</v>
      </c>
      <c r="G58" s="961">
        <f>SUM(H58:S58)</f>
        <v>265</v>
      </c>
      <c r="H58" s="537">
        <v>106</v>
      </c>
      <c r="I58" s="537">
        <v>106</v>
      </c>
      <c r="J58" s="538" t="s">
        <v>144</v>
      </c>
      <c r="K58" s="538" t="s">
        <v>144</v>
      </c>
      <c r="L58" s="538" t="s">
        <v>144</v>
      </c>
      <c r="M58" s="538" t="s">
        <v>144</v>
      </c>
      <c r="N58" s="538" t="s">
        <v>144</v>
      </c>
      <c r="O58" s="538" t="s">
        <v>144</v>
      </c>
      <c r="P58" s="538">
        <v>2</v>
      </c>
      <c r="Q58" s="538">
        <v>4</v>
      </c>
      <c r="R58" s="538">
        <v>47</v>
      </c>
      <c r="S58" s="569"/>
    </row>
    <row r="59" spans="1:19" ht="15" customHeight="1" x14ac:dyDescent="0.25">
      <c r="A59" s="516"/>
      <c r="B59" s="762" t="s">
        <v>417</v>
      </c>
      <c r="C59" s="910"/>
      <c r="D59" s="873"/>
      <c r="E59" s="667">
        <v>5</v>
      </c>
      <c r="F59" s="523">
        <v>755</v>
      </c>
      <c r="G59" s="961">
        <f t="shared" ref="G59:G63" si="2">SUM(H59:S59)</f>
        <v>548</v>
      </c>
      <c r="H59" s="540">
        <v>225</v>
      </c>
      <c r="I59" s="540">
        <v>225</v>
      </c>
      <c r="J59" s="538" t="s">
        <v>144</v>
      </c>
      <c r="K59" s="538" t="s">
        <v>144</v>
      </c>
      <c r="L59" s="538" t="s">
        <v>144</v>
      </c>
      <c r="M59" s="538" t="s">
        <v>144</v>
      </c>
      <c r="N59" s="538" t="s">
        <v>144</v>
      </c>
      <c r="O59" s="538" t="s">
        <v>144</v>
      </c>
      <c r="P59" s="538">
        <v>1</v>
      </c>
      <c r="Q59" s="541">
        <v>9</v>
      </c>
      <c r="R59" s="541">
        <v>88</v>
      </c>
      <c r="S59" s="539"/>
    </row>
    <row r="60" spans="1:19" ht="15" customHeight="1" x14ac:dyDescent="0.25">
      <c r="A60" s="516"/>
      <c r="B60" s="534" t="s">
        <v>410</v>
      </c>
      <c r="C60" s="911"/>
      <c r="D60" s="873"/>
      <c r="E60" s="667">
        <v>1413</v>
      </c>
      <c r="F60" s="523">
        <v>1600</v>
      </c>
      <c r="G60" s="961">
        <f t="shared" si="2"/>
        <v>1484</v>
      </c>
      <c r="H60" s="540" t="s">
        <v>408</v>
      </c>
      <c r="I60" s="540" t="s">
        <v>408</v>
      </c>
      <c r="J60" s="538">
        <v>97</v>
      </c>
      <c r="K60" s="853">
        <v>458</v>
      </c>
      <c r="L60" s="541">
        <v>459</v>
      </c>
      <c r="M60" s="520">
        <v>470</v>
      </c>
      <c r="N60" s="538" t="s">
        <v>144</v>
      </c>
      <c r="O60" s="538" t="s">
        <v>144</v>
      </c>
      <c r="P60" s="538" t="s">
        <v>144</v>
      </c>
      <c r="Q60" s="538" t="s">
        <v>144</v>
      </c>
      <c r="R60" s="538" t="s">
        <v>144</v>
      </c>
      <c r="S60" s="538"/>
    </row>
    <row r="61" spans="1:19" ht="15" customHeight="1" x14ac:dyDescent="0.25">
      <c r="A61" s="516"/>
      <c r="B61" s="762" t="s">
        <v>411</v>
      </c>
      <c r="C61" s="910"/>
      <c r="D61" s="873"/>
      <c r="E61" s="667">
        <v>1005</v>
      </c>
      <c r="F61" s="523">
        <v>3154</v>
      </c>
      <c r="G61" s="961">
        <f t="shared" si="2"/>
        <v>3878</v>
      </c>
      <c r="H61" s="540" t="s">
        <v>408</v>
      </c>
      <c r="I61" s="540" t="s">
        <v>408</v>
      </c>
      <c r="J61" s="538">
        <v>257</v>
      </c>
      <c r="K61" s="853">
        <v>1192</v>
      </c>
      <c r="L61" s="541">
        <v>1201</v>
      </c>
      <c r="M61" s="520">
        <v>1228</v>
      </c>
      <c r="N61" s="538" t="s">
        <v>144</v>
      </c>
      <c r="O61" s="538" t="s">
        <v>144</v>
      </c>
      <c r="P61" s="538" t="s">
        <v>144</v>
      </c>
      <c r="Q61" s="538" t="s">
        <v>144</v>
      </c>
      <c r="R61" s="538" t="s">
        <v>144</v>
      </c>
      <c r="S61" s="538"/>
    </row>
    <row r="62" spans="1:19" ht="15" customHeight="1" x14ac:dyDescent="0.25">
      <c r="A62" s="516"/>
      <c r="B62" s="534" t="s">
        <v>412</v>
      </c>
      <c r="C62" s="911"/>
      <c r="D62" s="873"/>
      <c r="E62" s="667">
        <v>3405</v>
      </c>
      <c r="F62" s="523">
        <v>2617</v>
      </c>
      <c r="G62" s="961">
        <f t="shared" si="2"/>
        <v>2893</v>
      </c>
      <c r="H62" s="540" t="s">
        <v>408</v>
      </c>
      <c r="I62" s="540" t="s">
        <v>408</v>
      </c>
      <c r="J62" s="538">
        <v>171</v>
      </c>
      <c r="K62" s="853">
        <v>878</v>
      </c>
      <c r="L62" s="541">
        <v>905</v>
      </c>
      <c r="M62" s="520">
        <v>939</v>
      </c>
      <c r="N62" s="538" t="s">
        <v>144</v>
      </c>
      <c r="O62" s="538" t="s">
        <v>144</v>
      </c>
      <c r="P62" s="538" t="s">
        <v>144</v>
      </c>
      <c r="Q62" s="538" t="s">
        <v>144</v>
      </c>
      <c r="R62" s="538" t="s">
        <v>144</v>
      </c>
      <c r="S62" s="538"/>
    </row>
    <row r="63" spans="1:19" ht="15" customHeight="1" x14ac:dyDescent="0.25">
      <c r="A63" s="516"/>
      <c r="B63" s="761" t="s">
        <v>409</v>
      </c>
      <c r="C63" s="906"/>
      <c r="D63" s="872"/>
      <c r="E63" s="667">
        <v>2897</v>
      </c>
      <c r="F63" s="515">
        <v>4752</v>
      </c>
      <c r="G63" s="961">
        <f t="shared" si="2"/>
        <v>6632</v>
      </c>
      <c r="H63" s="540" t="s">
        <v>408</v>
      </c>
      <c r="I63" s="540" t="s">
        <v>408</v>
      </c>
      <c r="J63" s="538">
        <v>379</v>
      </c>
      <c r="K63" s="854">
        <v>1999</v>
      </c>
      <c r="L63" s="541">
        <v>2090</v>
      </c>
      <c r="M63" s="525">
        <v>2164</v>
      </c>
      <c r="N63" s="538" t="s">
        <v>144</v>
      </c>
      <c r="O63" s="538" t="s">
        <v>144</v>
      </c>
      <c r="P63" s="538" t="s">
        <v>144</v>
      </c>
      <c r="Q63" s="538" t="s">
        <v>144</v>
      </c>
      <c r="R63" s="538" t="s">
        <v>144</v>
      </c>
      <c r="S63" s="538"/>
    </row>
    <row r="64" spans="1:19" s="655" customFormat="1" ht="15.95" customHeight="1" x14ac:dyDescent="0.25">
      <c r="A64" s="654"/>
      <c r="B64" s="1051" t="s">
        <v>240</v>
      </c>
      <c r="C64" s="1052"/>
      <c r="D64" s="1052"/>
      <c r="E64" s="1052"/>
      <c r="F64" s="1052"/>
      <c r="G64" s="1052"/>
      <c r="H64" s="1052"/>
      <c r="I64" s="1052"/>
      <c r="J64" s="1052"/>
      <c r="K64" s="1052"/>
      <c r="L64" s="1052"/>
      <c r="M64" s="1052"/>
      <c r="N64" s="1052"/>
      <c r="O64" s="1052"/>
      <c r="P64" s="1052"/>
      <c r="Q64" s="1052"/>
      <c r="R64" s="1052"/>
      <c r="S64" s="1053"/>
    </row>
    <row r="65" spans="1:20" ht="15" customHeight="1" x14ac:dyDescent="0.25">
      <c r="A65" s="516"/>
      <c r="B65" s="509" t="s">
        <v>304</v>
      </c>
      <c r="C65" s="750"/>
      <c r="E65" s="934">
        <v>3338074.2199999997</v>
      </c>
      <c r="F65" s="544">
        <v>2738194.7</v>
      </c>
      <c r="G65" s="544">
        <f>SUM(H65:S65)</f>
        <v>2602313.4900000002</v>
      </c>
      <c r="H65" s="545">
        <v>222822.7</v>
      </c>
      <c r="I65" s="554">
        <v>220224.39</v>
      </c>
      <c r="J65" s="554">
        <v>226803.73</v>
      </c>
      <c r="K65" s="855">
        <v>215810.16</v>
      </c>
      <c r="L65" s="554">
        <v>202206.05</v>
      </c>
      <c r="M65" s="554">
        <v>201122.31</v>
      </c>
      <c r="N65" s="554">
        <v>227542.55</v>
      </c>
      <c r="O65" s="554">
        <v>207188.42</v>
      </c>
      <c r="P65" s="554">
        <v>217030.66</v>
      </c>
      <c r="Q65" s="956">
        <v>217445.09</v>
      </c>
      <c r="R65" s="958">
        <v>220599.23</v>
      </c>
      <c r="S65" s="957">
        <v>223518.2</v>
      </c>
    </row>
    <row r="66" spans="1:20" ht="15" customHeight="1" x14ac:dyDescent="0.25">
      <c r="A66" s="516"/>
      <c r="B66" s="522" t="s">
        <v>305</v>
      </c>
      <c r="C66" s="750"/>
      <c r="E66" s="934">
        <v>33449.75</v>
      </c>
      <c r="F66" s="544">
        <v>27598.720000000005</v>
      </c>
      <c r="G66" s="544">
        <f t="shared" ref="G66:G76" si="3">SUM(H66:S66)</f>
        <v>26937.960000000003</v>
      </c>
      <c r="H66" s="545">
        <v>2257.39</v>
      </c>
      <c r="I66" s="554">
        <v>2303.5300000000002</v>
      </c>
      <c r="J66" s="554">
        <v>2291.12</v>
      </c>
      <c r="K66" s="855">
        <v>2347.87</v>
      </c>
      <c r="L66" s="554">
        <v>2296.9499999999998</v>
      </c>
      <c r="M66" s="554">
        <v>2282.2199999999998</v>
      </c>
      <c r="N66" s="554">
        <v>2258.71</v>
      </c>
      <c r="O66" s="554">
        <v>2164.17</v>
      </c>
      <c r="P66" s="554">
        <v>2219.2199999999998</v>
      </c>
      <c r="Q66" s="956">
        <v>2192.1799999999998</v>
      </c>
      <c r="R66" s="958">
        <v>2150.08</v>
      </c>
      <c r="S66" s="957">
        <v>2174.52</v>
      </c>
    </row>
    <row r="67" spans="1:20" ht="15" customHeight="1" x14ac:dyDescent="0.25">
      <c r="A67" s="516"/>
      <c r="B67" s="522" t="s">
        <v>243</v>
      </c>
      <c r="C67" s="750"/>
      <c r="E67" s="934">
        <v>113161.79</v>
      </c>
      <c r="F67" s="544">
        <v>101712.98000000001</v>
      </c>
      <c r="G67" s="544">
        <f t="shared" si="3"/>
        <v>118663.80000000002</v>
      </c>
      <c r="H67" s="545">
        <f>12290+11740</f>
        <v>24030</v>
      </c>
      <c r="I67" s="554">
        <v>3320</v>
      </c>
      <c r="J67" s="923">
        <v>2186.58</v>
      </c>
      <c r="K67" s="855">
        <f>16580+11690</f>
        <v>28270</v>
      </c>
      <c r="L67" s="554">
        <v>530</v>
      </c>
      <c r="M67" s="554">
        <v>630</v>
      </c>
      <c r="N67" s="554">
        <f>15610+11830</f>
        <v>27440</v>
      </c>
      <c r="O67" s="554">
        <v>2779.41</v>
      </c>
      <c r="P67" s="554">
        <v>256.74</v>
      </c>
      <c r="Q67" s="956">
        <f>12320+12570</f>
        <v>24890</v>
      </c>
      <c r="R67" s="958">
        <v>3191.07</v>
      </c>
      <c r="S67" s="696">
        <v>1140</v>
      </c>
    </row>
    <row r="68" spans="1:20" ht="15" customHeight="1" x14ac:dyDescent="0.25">
      <c r="A68" s="516"/>
      <c r="B68" s="514" t="s">
        <v>244</v>
      </c>
      <c r="C68" s="750"/>
      <c r="E68" s="934">
        <v>24966.190000000002</v>
      </c>
      <c r="F68" s="544">
        <v>39218.49</v>
      </c>
      <c r="G68" s="544">
        <f t="shared" si="3"/>
        <v>19580.650000000001</v>
      </c>
      <c r="H68" s="545">
        <v>780</v>
      </c>
      <c r="I68" s="554">
        <v>2541.4</v>
      </c>
      <c r="J68" s="554">
        <v>0</v>
      </c>
      <c r="K68" s="855">
        <v>444.42</v>
      </c>
      <c r="L68" s="554">
        <v>1555</v>
      </c>
      <c r="M68" s="554">
        <v>750</v>
      </c>
      <c r="N68" s="696">
        <v>660</v>
      </c>
      <c r="O68" s="554">
        <v>1770</v>
      </c>
      <c r="P68" s="554">
        <v>1099</v>
      </c>
      <c r="Q68" s="696">
        <v>6303.93</v>
      </c>
      <c r="R68" s="958">
        <v>2800.4</v>
      </c>
      <c r="S68" s="957">
        <v>876.5</v>
      </c>
    </row>
    <row r="69" spans="1:20" ht="15" customHeight="1" x14ac:dyDescent="0.25">
      <c r="A69" s="516"/>
      <c r="B69" s="509" t="s">
        <v>245</v>
      </c>
      <c r="C69" s="750"/>
      <c r="E69" s="934">
        <v>172290.38999999998</v>
      </c>
      <c r="F69" s="544">
        <v>105088.07</v>
      </c>
      <c r="G69" s="544">
        <f>SUM(H69:S69)</f>
        <v>145806.03000000003</v>
      </c>
      <c r="H69" s="545">
        <v>0</v>
      </c>
      <c r="I69" s="554">
        <v>14771.24</v>
      </c>
      <c r="J69" s="953">
        <v>19010.25</v>
      </c>
      <c r="K69" s="855">
        <f>19404.78+655</f>
        <v>20059.78</v>
      </c>
      <c r="L69" s="554">
        <f>11516.19+115</f>
        <v>11631.19</v>
      </c>
      <c r="M69" s="554">
        <v>6318.31</v>
      </c>
      <c r="N69" s="696">
        <f>11686.33+325</f>
        <v>12011.33</v>
      </c>
      <c r="O69" s="554">
        <f>11547.04+400</f>
        <v>11947.04</v>
      </c>
      <c r="P69" s="554">
        <f>13716.5</f>
        <v>13716.5</v>
      </c>
      <c r="Q69" s="956">
        <f>12794.49+525</f>
        <v>13319.49</v>
      </c>
      <c r="R69" s="958">
        <f>11066.68+400</f>
        <v>11466.68</v>
      </c>
      <c r="S69" s="957">
        <f>10854.22+700</f>
        <v>11554.22</v>
      </c>
    </row>
    <row r="70" spans="1:20" ht="15" customHeight="1" x14ac:dyDescent="0.25">
      <c r="A70" s="516"/>
      <c r="B70" s="522" t="s">
        <v>306</v>
      </c>
      <c r="C70" s="750"/>
      <c r="E70" s="934">
        <v>27688.7</v>
      </c>
      <c r="F70" s="544">
        <v>41296.51</v>
      </c>
      <c r="G70" s="544">
        <f t="shared" si="3"/>
        <v>11808.15</v>
      </c>
      <c r="H70" s="545">
        <v>822.5</v>
      </c>
      <c r="I70" s="554">
        <v>865</v>
      </c>
      <c r="J70" s="554">
        <v>1351</v>
      </c>
      <c r="K70" s="855">
        <v>1595.81</v>
      </c>
      <c r="L70" s="554">
        <v>421.24</v>
      </c>
      <c r="M70" s="554">
        <v>1563.2</v>
      </c>
      <c r="N70" s="554">
        <v>1300</v>
      </c>
      <c r="O70" s="554">
        <v>630</v>
      </c>
      <c r="P70" s="554">
        <v>1794.4</v>
      </c>
      <c r="Q70" s="956">
        <v>390</v>
      </c>
      <c r="R70" s="958">
        <v>550</v>
      </c>
      <c r="S70" s="957">
        <v>525</v>
      </c>
    </row>
    <row r="71" spans="1:20" ht="15" customHeight="1" x14ac:dyDescent="0.25">
      <c r="A71" s="516"/>
      <c r="B71" s="522" t="s">
        <v>307</v>
      </c>
      <c r="C71" s="750"/>
      <c r="E71" s="934">
        <v>26204.76</v>
      </c>
      <c r="F71" s="544">
        <v>12821.310000000001</v>
      </c>
      <c r="G71" s="544">
        <f t="shared" si="3"/>
        <v>82654.910000000018</v>
      </c>
      <c r="H71" s="545">
        <v>1852.65</v>
      </c>
      <c r="I71" s="554">
        <v>59544.23</v>
      </c>
      <c r="J71" s="554">
        <v>744.77</v>
      </c>
      <c r="K71" s="855">
        <v>3053.35</v>
      </c>
      <c r="L71" s="554">
        <v>1222.72</v>
      </c>
      <c r="M71" s="554">
        <v>1125.8800000000001</v>
      </c>
      <c r="N71" s="554">
        <v>1223.75</v>
      </c>
      <c r="O71" s="554">
        <v>1824.5</v>
      </c>
      <c r="P71" s="554">
        <v>729.08</v>
      </c>
      <c r="Q71" s="956">
        <v>1341.71</v>
      </c>
      <c r="R71" s="958">
        <v>9429.02</v>
      </c>
      <c r="S71" s="957">
        <v>563.25</v>
      </c>
    </row>
    <row r="72" spans="1:20" ht="15" customHeight="1" x14ac:dyDescent="0.25">
      <c r="A72" s="516"/>
      <c r="B72" s="534" t="s">
        <v>308</v>
      </c>
      <c r="D72" s="878"/>
      <c r="E72" s="934">
        <v>0</v>
      </c>
      <c r="F72" s="544">
        <v>1244</v>
      </c>
      <c r="G72" s="544">
        <f t="shared" si="3"/>
        <v>1810</v>
      </c>
      <c r="H72" s="545">
        <v>0</v>
      </c>
      <c r="I72" s="554">
        <v>0</v>
      </c>
      <c r="J72" s="554">
        <v>0</v>
      </c>
      <c r="K72" s="855">
        <v>1810</v>
      </c>
      <c r="L72" s="554">
        <v>0</v>
      </c>
      <c r="M72" s="554">
        <v>0</v>
      </c>
      <c r="N72" s="554">
        <v>0</v>
      </c>
      <c r="O72" s="554">
        <v>0</v>
      </c>
      <c r="P72" s="554">
        <v>0</v>
      </c>
      <c r="Q72" s="554">
        <v>0</v>
      </c>
      <c r="R72" s="554">
        <v>0</v>
      </c>
      <c r="S72" s="554"/>
    </row>
    <row r="73" spans="1:20" ht="15" customHeight="1" x14ac:dyDescent="0.25">
      <c r="A73" s="516"/>
      <c r="B73" s="534" t="s">
        <v>404</v>
      </c>
      <c r="D73" s="878"/>
      <c r="E73" s="934"/>
      <c r="F73" s="544">
        <v>76144.849999999991</v>
      </c>
      <c r="G73" s="544">
        <f t="shared" si="3"/>
        <v>70</v>
      </c>
      <c r="H73" s="545">
        <v>0</v>
      </c>
      <c r="I73" s="554">
        <v>70</v>
      </c>
      <c r="J73" s="554">
        <v>0</v>
      </c>
      <c r="K73" s="855">
        <v>0</v>
      </c>
      <c r="L73" s="554">
        <v>0</v>
      </c>
      <c r="M73" s="554">
        <v>0</v>
      </c>
      <c r="N73" s="554">
        <v>0</v>
      </c>
      <c r="O73" s="554">
        <v>0</v>
      </c>
      <c r="P73" s="554">
        <v>0</v>
      </c>
      <c r="Q73" s="554">
        <v>0</v>
      </c>
      <c r="R73" s="554">
        <v>0</v>
      </c>
      <c r="S73" s="554"/>
    </row>
    <row r="74" spans="1:20" ht="15" customHeight="1" x14ac:dyDescent="0.25">
      <c r="A74" s="516"/>
      <c r="B74" s="534" t="s">
        <v>393</v>
      </c>
      <c r="D74" s="878"/>
      <c r="E74" s="934">
        <v>29252.26</v>
      </c>
      <c r="F74" s="544">
        <v>36777.25</v>
      </c>
      <c r="G74" s="544">
        <f t="shared" si="3"/>
        <v>41379.12999999999</v>
      </c>
      <c r="H74" s="545">
        <v>1400</v>
      </c>
      <c r="I74" s="554">
        <v>8181.34</v>
      </c>
      <c r="J74" s="554">
        <v>2638.24</v>
      </c>
      <c r="K74" s="855">
        <v>5799.56</v>
      </c>
      <c r="L74" s="554">
        <v>3303.86</v>
      </c>
      <c r="M74" s="554">
        <v>402.51</v>
      </c>
      <c r="N74" s="554">
        <v>3282.53</v>
      </c>
      <c r="O74" s="554">
        <v>4000.99</v>
      </c>
      <c r="P74" s="554">
        <v>612.71</v>
      </c>
      <c r="Q74" s="956">
        <v>3387.96</v>
      </c>
      <c r="R74" s="958">
        <v>1633.09</v>
      </c>
      <c r="S74" s="957">
        <v>6736.34</v>
      </c>
    </row>
    <row r="75" spans="1:20" ht="15" customHeight="1" x14ac:dyDescent="0.25">
      <c r="A75" s="516"/>
      <c r="B75" s="534" t="s">
        <v>309</v>
      </c>
      <c r="D75" s="878"/>
      <c r="E75" s="934">
        <v>3782776.5399999996</v>
      </c>
      <c r="F75" s="544">
        <v>3106544.58</v>
      </c>
      <c r="G75" s="544">
        <f t="shared" si="3"/>
        <v>2745272.69</v>
      </c>
      <c r="H75" s="545">
        <v>258335.24</v>
      </c>
      <c r="I75" s="554">
        <v>295458.45</v>
      </c>
      <c r="J75" s="554">
        <v>249749.21</v>
      </c>
      <c r="K75" s="855">
        <v>267591.83</v>
      </c>
      <c r="L75" s="554">
        <v>216559.29</v>
      </c>
      <c r="M75" s="554">
        <v>213789.41</v>
      </c>
      <c r="N75" s="554">
        <v>269152.81</v>
      </c>
      <c r="O75" s="554">
        <v>223689.55</v>
      </c>
      <c r="P75" s="554">
        <v>236632.89</v>
      </c>
      <c r="Q75" s="956">
        <v>262494.44</v>
      </c>
      <c r="R75" s="958">
        <v>251819.57</v>
      </c>
      <c r="S75" s="957"/>
      <c r="T75" s="556"/>
    </row>
    <row r="76" spans="1:20" ht="31.5" customHeight="1" x14ac:dyDescent="0.25">
      <c r="A76" s="516"/>
      <c r="B76" s="535" t="s">
        <v>310</v>
      </c>
      <c r="D76" s="877"/>
      <c r="E76" s="934">
        <v>24577.200000000001</v>
      </c>
      <c r="F76" s="544">
        <v>11078</v>
      </c>
      <c r="G76" s="544">
        <f t="shared" si="3"/>
        <v>1902</v>
      </c>
      <c r="H76" s="545">
        <v>634</v>
      </c>
      <c r="I76" s="554">
        <v>634</v>
      </c>
      <c r="J76" s="554">
        <v>634</v>
      </c>
      <c r="K76" s="855">
        <v>0</v>
      </c>
      <c r="L76" s="554">
        <v>0</v>
      </c>
      <c r="M76" s="554">
        <v>0</v>
      </c>
      <c r="N76" s="554">
        <v>0</v>
      </c>
      <c r="O76" s="554">
        <v>0</v>
      </c>
      <c r="P76" s="554">
        <v>0</v>
      </c>
      <c r="Q76" s="956">
        <v>0</v>
      </c>
      <c r="R76" s="956">
        <v>0</v>
      </c>
      <c r="S76" s="957"/>
    </row>
    <row r="77" spans="1:20" s="655" customFormat="1" ht="15.95" customHeight="1" x14ac:dyDescent="0.25">
      <c r="A77" s="654"/>
      <c r="B77" s="1063" t="s">
        <v>43</v>
      </c>
      <c r="C77" s="1064"/>
      <c r="D77" s="1064"/>
      <c r="E77" s="1064"/>
      <c r="F77" s="1064"/>
      <c r="G77" s="1064"/>
      <c r="H77" s="1064"/>
      <c r="I77" s="1064"/>
      <c r="J77" s="1064"/>
      <c r="K77" s="1064"/>
      <c r="L77" s="1064"/>
      <c r="M77" s="1064"/>
      <c r="N77" s="1064"/>
      <c r="O77" s="1064"/>
      <c r="P77" s="1064"/>
      <c r="Q77" s="1064"/>
      <c r="R77" s="1064"/>
      <c r="S77" s="1065"/>
    </row>
    <row r="78" spans="1:20" s="655" customFormat="1" ht="15.95" customHeight="1" x14ac:dyDescent="0.25">
      <c r="A78" s="654"/>
      <c r="B78" s="1066" t="s">
        <v>44</v>
      </c>
      <c r="C78" s="1067"/>
      <c r="D78" s="1067"/>
      <c r="E78" s="1067"/>
      <c r="F78" s="1067"/>
      <c r="G78" s="1067"/>
      <c r="H78" s="1067"/>
      <c r="I78" s="1067"/>
      <c r="J78" s="1067"/>
      <c r="K78" s="1067"/>
      <c r="L78" s="1067"/>
      <c r="M78" s="1067"/>
      <c r="N78" s="1067"/>
      <c r="O78" s="1067"/>
      <c r="P78" s="1067"/>
      <c r="Q78" s="1067"/>
      <c r="R78" s="1067"/>
      <c r="S78" s="1068"/>
    </row>
    <row r="79" spans="1:20" ht="15" customHeight="1" x14ac:dyDescent="0.25">
      <c r="A79" s="516"/>
      <c r="B79" s="536" t="s">
        <v>311</v>
      </c>
      <c r="C79" s="909"/>
      <c r="D79" s="871"/>
      <c r="E79" s="686">
        <v>364</v>
      </c>
      <c r="F79" s="887">
        <v>411</v>
      </c>
      <c r="G79" s="653">
        <f>SUM(H79:S79)</f>
        <v>412</v>
      </c>
      <c r="H79" s="832">
        <v>30</v>
      </c>
      <c r="I79" s="833">
        <v>33</v>
      </c>
      <c r="J79" s="629">
        <v>29</v>
      </c>
      <c r="K79" s="561">
        <v>38</v>
      </c>
      <c r="L79" s="512">
        <v>26</v>
      </c>
      <c r="M79" s="512">
        <v>35</v>
      </c>
      <c r="N79" s="512">
        <v>32</v>
      </c>
      <c r="O79" s="512">
        <v>37</v>
      </c>
      <c r="P79" s="512">
        <v>39</v>
      </c>
      <c r="Q79" s="512">
        <v>29</v>
      </c>
      <c r="R79" s="512">
        <v>44</v>
      </c>
      <c r="S79" s="513">
        <v>40</v>
      </c>
    </row>
    <row r="80" spans="1:20" ht="15" customHeight="1" x14ac:dyDescent="0.25">
      <c r="A80" s="516"/>
      <c r="B80" s="534" t="s">
        <v>312</v>
      </c>
      <c r="C80" s="911"/>
      <c r="D80" s="873" t="s">
        <v>384</v>
      </c>
      <c r="E80" s="686">
        <v>3.0833333333333335</v>
      </c>
      <c r="F80" s="888">
        <v>5</v>
      </c>
      <c r="G80" s="653">
        <f>AVERAGE(H80:S80)</f>
        <v>4.666666666666667</v>
      </c>
      <c r="H80" s="519">
        <v>6</v>
      </c>
      <c r="I80" s="512">
        <v>6</v>
      </c>
      <c r="J80" s="520">
        <v>4</v>
      </c>
      <c r="K80" s="807">
        <v>3</v>
      </c>
      <c r="L80" s="520">
        <v>5</v>
      </c>
      <c r="M80" s="520">
        <v>2</v>
      </c>
      <c r="N80" s="520">
        <v>1</v>
      </c>
      <c r="O80" s="520">
        <v>2</v>
      </c>
      <c r="P80" s="520">
        <v>8</v>
      </c>
      <c r="Q80" s="520">
        <v>5</v>
      </c>
      <c r="R80" s="520">
        <v>7</v>
      </c>
      <c r="S80" s="521">
        <v>7</v>
      </c>
    </row>
    <row r="81" spans="1:19" ht="15" customHeight="1" x14ac:dyDescent="0.25">
      <c r="A81" s="516"/>
      <c r="B81" s="534" t="s">
        <v>269</v>
      </c>
      <c r="C81" s="911"/>
      <c r="D81" s="873" t="s">
        <v>384</v>
      </c>
      <c r="E81" s="686">
        <v>71.25</v>
      </c>
      <c r="F81" s="889">
        <v>815</v>
      </c>
      <c r="G81" s="653">
        <f t="shared" ref="G81" si="4">SUM(H81:S81)</f>
        <v>733</v>
      </c>
      <c r="H81" s="533">
        <v>71</v>
      </c>
      <c r="I81" s="533">
        <v>67</v>
      </c>
      <c r="J81" s="533">
        <v>59</v>
      </c>
      <c r="K81" s="858">
        <v>52</v>
      </c>
      <c r="L81" s="533">
        <v>53</v>
      </c>
      <c r="M81" s="533">
        <v>61</v>
      </c>
      <c r="N81" s="533">
        <v>50</v>
      </c>
      <c r="O81" s="533">
        <v>60</v>
      </c>
      <c r="P81" s="533">
        <v>61</v>
      </c>
      <c r="Q81" s="533">
        <v>59</v>
      </c>
      <c r="R81" s="858">
        <v>71</v>
      </c>
      <c r="S81" s="539">
        <v>69</v>
      </c>
    </row>
    <row r="82" spans="1:19" ht="15" customHeight="1" x14ac:dyDescent="0.25">
      <c r="A82" s="516"/>
      <c r="B82" s="762" t="s">
        <v>313</v>
      </c>
      <c r="C82" s="907"/>
      <c r="E82" s="726">
        <v>0</v>
      </c>
      <c r="F82" s="726">
        <v>0</v>
      </c>
      <c r="G82" s="726">
        <v>0</v>
      </c>
      <c r="H82" s="533">
        <v>36</v>
      </c>
      <c r="I82" s="533">
        <v>40</v>
      </c>
      <c r="J82" s="533">
        <v>32</v>
      </c>
      <c r="K82" s="858">
        <v>42</v>
      </c>
      <c r="L82" s="533">
        <v>33</v>
      </c>
      <c r="M82" s="533">
        <v>38</v>
      </c>
      <c r="N82" s="533">
        <v>27</v>
      </c>
      <c r="O82" s="533">
        <v>38</v>
      </c>
      <c r="P82" s="533">
        <v>49</v>
      </c>
      <c r="Q82" s="533">
        <v>33</v>
      </c>
      <c r="R82" s="533">
        <v>46</v>
      </c>
      <c r="S82" s="532">
        <v>44</v>
      </c>
    </row>
    <row r="83" spans="1:19" ht="15" customHeight="1" x14ac:dyDescent="0.25">
      <c r="A83" s="516"/>
      <c r="B83" s="761" t="s">
        <v>314</v>
      </c>
      <c r="C83" s="907"/>
      <c r="E83" s="729">
        <v>0</v>
      </c>
      <c r="F83" s="729">
        <v>0</v>
      </c>
      <c r="G83" s="729">
        <v>0</v>
      </c>
      <c r="H83" s="533">
        <v>35</v>
      </c>
      <c r="I83" s="533">
        <v>35</v>
      </c>
      <c r="J83" s="533">
        <v>28</v>
      </c>
      <c r="K83" s="858">
        <v>29</v>
      </c>
      <c r="L83" s="533">
        <v>36</v>
      </c>
      <c r="M83" s="533">
        <v>25</v>
      </c>
      <c r="N83" s="533">
        <v>30</v>
      </c>
      <c r="O83" s="533">
        <v>30</v>
      </c>
      <c r="P83" s="533">
        <v>41</v>
      </c>
      <c r="Q83" s="533">
        <v>34</v>
      </c>
      <c r="R83" s="533">
        <v>27</v>
      </c>
      <c r="S83" s="560">
        <v>36</v>
      </c>
    </row>
    <row r="84" spans="1:19" s="655" customFormat="1" ht="15.95" customHeight="1" x14ac:dyDescent="0.25">
      <c r="A84" s="654"/>
      <c r="B84" s="1051" t="s">
        <v>50</v>
      </c>
      <c r="C84" s="1052"/>
      <c r="D84" s="1052"/>
      <c r="E84" s="1052"/>
      <c r="F84" s="1052"/>
      <c r="G84" s="1052"/>
      <c r="H84" s="1052"/>
      <c r="I84" s="1052"/>
      <c r="J84" s="1052"/>
      <c r="K84" s="1052"/>
      <c r="L84" s="1052"/>
      <c r="M84" s="1052"/>
      <c r="N84" s="1052"/>
      <c r="O84" s="1052"/>
      <c r="P84" s="1052"/>
      <c r="Q84" s="1052"/>
      <c r="R84" s="1052"/>
      <c r="S84" s="1053"/>
    </row>
    <row r="85" spans="1:19" ht="15" customHeight="1" x14ac:dyDescent="0.25">
      <c r="A85" s="516"/>
      <c r="B85" s="536" t="s">
        <v>369</v>
      </c>
      <c r="C85" s="909"/>
      <c r="D85" s="871" t="s">
        <v>384</v>
      </c>
      <c r="E85" s="686">
        <v>109.91666666666667</v>
      </c>
      <c r="F85" s="936">
        <v>117.25</v>
      </c>
      <c r="G85" s="890">
        <f>AVERAGE(H85:S85)</f>
        <v>121</v>
      </c>
      <c r="H85" s="832">
        <v>123</v>
      </c>
      <c r="I85" s="844">
        <v>123</v>
      </c>
      <c r="J85" s="846">
        <v>123</v>
      </c>
      <c r="K85" s="561">
        <v>122</v>
      </c>
      <c r="L85" s="561">
        <v>118</v>
      </c>
      <c r="M85" s="561">
        <v>117</v>
      </c>
      <c r="N85" s="561">
        <v>118</v>
      </c>
      <c r="O85" s="561">
        <v>119</v>
      </c>
      <c r="P85" s="561">
        <v>120</v>
      </c>
      <c r="Q85" s="561">
        <v>121</v>
      </c>
      <c r="R85" s="561">
        <v>124</v>
      </c>
      <c r="S85" s="527">
        <v>124</v>
      </c>
    </row>
    <row r="86" spans="1:19" ht="15" customHeight="1" x14ac:dyDescent="0.25">
      <c r="A86" s="516"/>
      <c r="B86" s="762" t="s">
        <v>270</v>
      </c>
      <c r="C86" s="907"/>
      <c r="E86" s="728"/>
      <c r="F86" s="728"/>
      <c r="G86" s="728"/>
      <c r="H86" s="511">
        <v>0</v>
      </c>
      <c r="I86" s="531">
        <v>2</v>
      </c>
      <c r="J86" s="505">
        <v>2</v>
      </c>
      <c r="K86" s="505">
        <v>0</v>
      </c>
      <c r="L86" s="505">
        <v>1</v>
      </c>
      <c r="M86" s="505">
        <v>0</v>
      </c>
      <c r="N86" s="505">
        <v>1</v>
      </c>
      <c r="O86" s="505">
        <v>1</v>
      </c>
      <c r="P86" s="505">
        <v>1</v>
      </c>
      <c r="Q86" s="505">
        <v>2</v>
      </c>
      <c r="R86" s="505">
        <v>3</v>
      </c>
      <c r="S86" s="527">
        <v>1</v>
      </c>
    </row>
    <row r="87" spans="1:19" ht="15" customHeight="1" x14ac:dyDescent="0.25">
      <c r="A87" s="516"/>
      <c r="B87" s="761" t="s">
        <v>271</v>
      </c>
      <c r="C87" s="907"/>
      <c r="D87" s="877"/>
      <c r="E87" s="728"/>
      <c r="F87" s="728"/>
      <c r="G87" s="728"/>
      <c r="H87" s="511">
        <v>0</v>
      </c>
      <c r="I87" s="533">
        <v>2</v>
      </c>
      <c r="J87" s="533">
        <v>2</v>
      </c>
      <c r="K87" s="533">
        <v>1</v>
      </c>
      <c r="L87" s="533">
        <v>5</v>
      </c>
      <c r="M87" s="533">
        <v>1</v>
      </c>
      <c r="N87" s="533">
        <v>0</v>
      </c>
      <c r="O87" s="533">
        <v>0</v>
      </c>
      <c r="P87" s="533">
        <v>0</v>
      </c>
      <c r="Q87" s="533">
        <v>1</v>
      </c>
      <c r="R87" s="533">
        <v>0</v>
      </c>
      <c r="S87" s="527">
        <v>1</v>
      </c>
    </row>
    <row r="88" spans="1:19" s="655" customFormat="1" ht="15.95" customHeight="1" x14ac:dyDescent="0.25">
      <c r="A88" s="654"/>
      <c r="B88" s="1051" t="s">
        <v>52</v>
      </c>
      <c r="C88" s="1052"/>
      <c r="D88" s="1052"/>
      <c r="E88" s="1052"/>
      <c r="F88" s="1052"/>
      <c r="G88" s="1052"/>
      <c r="H88" s="1052"/>
      <c r="I88" s="1052"/>
      <c r="J88" s="1052"/>
      <c r="K88" s="1052"/>
      <c r="L88" s="1052"/>
      <c r="M88" s="1052"/>
      <c r="N88" s="1052"/>
      <c r="O88" s="1052"/>
      <c r="P88" s="1052"/>
      <c r="Q88" s="1052"/>
      <c r="R88" s="1052"/>
      <c r="S88" s="1053"/>
    </row>
    <row r="89" spans="1:19" ht="15" customHeight="1" x14ac:dyDescent="0.25">
      <c r="A89" s="516"/>
      <c r="B89" s="536" t="s">
        <v>316</v>
      </c>
      <c r="D89" s="875" t="s">
        <v>384</v>
      </c>
      <c r="E89" s="937">
        <v>125.583333333333</v>
      </c>
      <c r="F89" s="935">
        <v>121.58333333333333</v>
      </c>
      <c r="G89" s="890">
        <f>AVERAGE(H89:S89)</f>
        <v>116.58333333333333</v>
      </c>
      <c r="H89" s="511">
        <v>124</v>
      </c>
      <c r="I89" s="845">
        <v>123</v>
      </c>
      <c r="J89" s="561">
        <v>122</v>
      </c>
      <c r="K89" s="561">
        <v>121</v>
      </c>
      <c r="L89" s="561">
        <v>120</v>
      </c>
      <c r="M89" s="561">
        <v>118</v>
      </c>
      <c r="N89" s="561">
        <v>115</v>
      </c>
      <c r="O89" s="561">
        <v>114</v>
      </c>
      <c r="P89" s="561">
        <v>110</v>
      </c>
      <c r="Q89" s="561">
        <v>110</v>
      </c>
      <c r="R89" s="561">
        <v>111</v>
      </c>
      <c r="S89" s="527">
        <v>111</v>
      </c>
    </row>
    <row r="90" spans="1:19" ht="15" hidden="1" customHeight="1" x14ac:dyDescent="0.25">
      <c r="A90" s="516"/>
      <c r="B90" s="762" t="s">
        <v>270</v>
      </c>
      <c r="C90" s="907"/>
      <c r="E90" s="726">
        <v>0</v>
      </c>
      <c r="F90" s="727">
        <v>0</v>
      </c>
      <c r="G90" s="890" t="e">
        <f t="shared" ref="G90:G95" si="5">AVERAGE(H90:S90)</f>
        <v>#DIV/0!</v>
      </c>
      <c r="H90" s="511"/>
      <c r="I90" s="822"/>
      <c r="J90" s="561"/>
      <c r="K90" s="561"/>
      <c r="L90" s="561"/>
      <c r="M90" s="561"/>
      <c r="N90" s="561"/>
      <c r="O90" s="561"/>
      <c r="P90" s="561"/>
      <c r="Q90" s="561"/>
      <c r="R90" s="561"/>
      <c r="S90" s="527"/>
    </row>
    <row r="91" spans="1:19" ht="15" hidden="1" customHeight="1" x14ac:dyDescent="0.25">
      <c r="A91" s="516"/>
      <c r="B91" s="762" t="s">
        <v>271</v>
      </c>
      <c r="C91" s="907"/>
      <c r="E91" s="724">
        <v>0</v>
      </c>
      <c r="F91" s="725">
        <v>0</v>
      </c>
      <c r="G91" s="890" t="e">
        <f t="shared" si="5"/>
        <v>#DIV/0!</v>
      </c>
      <c r="H91" s="511"/>
      <c r="I91" s="561"/>
      <c r="J91" s="561"/>
      <c r="K91" s="561"/>
      <c r="L91" s="561"/>
      <c r="M91" s="561"/>
      <c r="N91" s="561"/>
      <c r="O91" s="561"/>
      <c r="P91" s="561"/>
      <c r="Q91" s="561"/>
      <c r="R91" s="561"/>
      <c r="S91" s="527"/>
    </row>
    <row r="92" spans="1:19" ht="15" customHeight="1" x14ac:dyDescent="0.25">
      <c r="A92" s="516"/>
      <c r="B92" s="534" t="s">
        <v>272</v>
      </c>
      <c r="E92" s="729">
        <v>0</v>
      </c>
      <c r="F92" s="732">
        <v>106142.25</v>
      </c>
      <c r="G92" s="732">
        <v>106142.25</v>
      </c>
      <c r="H92" s="822">
        <v>7682.11</v>
      </c>
      <c r="I92" s="970">
        <v>7322.7</v>
      </c>
      <c r="J92" s="971">
        <v>7218.1</v>
      </c>
      <c r="K92" s="972">
        <v>7162.85</v>
      </c>
      <c r="L92" s="822">
        <v>7599.85</v>
      </c>
      <c r="M92" s="822">
        <v>7586.65</v>
      </c>
      <c r="N92" s="822">
        <v>6682.89</v>
      </c>
      <c r="O92" s="964">
        <v>6408.25</v>
      </c>
      <c r="P92" s="1001">
        <v>7254.75</v>
      </c>
      <c r="Q92" s="964">
        <v>6912.25</v>
      </c>
      <c r="R92" s="822">
        <v>4558</v>
      </c>
      <c r="S92" s="1002">
        <v>6251.5</v>
      </c>
    </row>
    <row r="93" spans="1:19" ht="15" customHeight="1" x14ac:dyDescent="0.25">
      <c r="A93" s="516"/>
      <c r="B93" s="534" t="s">
        <v>317</v>
      </c>
      <c r="D93" s="875" t="s">
        <v>384</v>
      </c>
      <c r="E93" s="937">
        <v>186</v>
      </c>
      <c r="F93" s="890">
        <v>188</v>
      </c>
      <c r="G93" s="890">
        <f t="shared" si="5"/>
        <v>189.66666666666666</v>
      </c>
      <c r="H93" s="832">
        <v>188</v>
      </c>
      <c r="I93" s="847">
        <v>188</v>
      </c>
      <c r="J93" s="846">
        <v>190</v>
      </c>
      <c r="K93" s="561">
        <v>190</v>
      </c>
      <c r="L93" s="561">
        <v>190</v>
      </c>
      <c r="M93" s="561">
        <v>190</v>
      </c>
      <c r="N93" s="561">
        <v>190</v>
      </c>
      <c r="O93" s="561">
        <v>190</v>
      </c>
      <c r="P93" s="561">
        <v>190</v>
      </c>
      <c r="Q93" s="561">
        <v>190</v>
      </c>
      <c r="R93" s="561">
        <v>190</v>
      </c>
      <c r="S93" s="561">
        <v>190</v>
      </c>
    </row>
    <row r="94" spans="1:19" ht="15" customHeight="1" x14ac:dyDescent="0.25">
      <c r="A94" s="516"/>
      <c r="B94" s="762" t="s">
        <v>270</v>
      </c>
      <c r="C94" s="907"/>
      <c r="E94" s="726">
        <v>0</v>
      </c>
      <c r="F94" s="727">
        <v>19</v>
      </c>
      <c r="G94" s="728">
        <f t="shared" si="5"/>
        <v>0.41666666666666669</v>
      </c>
      <c r="H94" s="511">
        <v>0</v>
      </c>
      <c r="I94" s="561">
        <v>0</v>
      </c>
      <c r="J94" s="561">
        <v>0</v>
      </c>
      <c r="K94" s="561">
        <v>0</v>
      </c>
      <c r="L94" s="561">
        <v>0</v>
      </c>
      <c r="M94" s="561">
        <v>0</v>
      </c>
      <c r="N94" s="561">
        <v>0</v>
      </c>
      <c r="O94" s="561">
        <v>0</v>
      </c>
      <c r="P94" s="561">
        <v>0</v>
      </c>
      <c r="Q94" s="561">
        <v>0</v>
      </c>
      <c r="R94" s="561">
        <v>3</v>
      </c>
      <c r="S94" s="527">
        <v>2</v>
      </c>
    </row>
    <row r="95" spans="1:19" ht="15" customHeight="1" x14ac:dyDescent="0.25">
      <c r="A95" s="516"/>
      <c r="B95" s="761" t="s">
        <v>271</v>
      </c>
      <c r="C95" s="907"/>
      <c r="E95" s="729">
        <v>0</v>
      </c>
      <c r="F95" s="732">
        <v>11</v>
      </c>
      <c r="G95" s="730">
        <f t="shared" si="5"/>
        <v>1.6666666666666667</v>
      </c>
      <c r="H95" s="511">
        <v>2</v>
      </c>
      <c r="I95" s="561">
        <v>1</v>
      </c>
      <c r="J95" s="561">
        <v>1</v>
      </c>
      <c r="K95" s="561">
        <v>1</v>
      </c>
      <c r="L95" s="561">
        <v>1</v>
      </c>
      <c r="M95" s="561">
        <v>2</v>
      </c>
      <c r="N95" s="561">
        <v>3</v>
      </c>
      <c r="O95" s="561">
        <v>1</v>
      </c>
      <c r="P95" s="561">
        <v>4</v>
      </c>
      <c r="Q95" s="561">
        <v>0</v>
      </c>
      <c r="R95" s="561">
        <v>2</v>
      </c>
      <c r="S95" s="527">
        <v>2</v>
      </c>
    </row>
    <row r="96" spans="1:19" s="750" customFormat="1" ht="15" hidden="1" customHeight="1" x14ac:dyDescent="0.25">
      <c r="A96" s="746"/>
      <c r="B96" s="522" t="s">
        <v>32</v>
      </c>
      <c r="D96" s="875"/>
      <c r="E96" s="792"/>
      <c r="F96" s="793"/>
      <c r="G96" s="794"/>
      <c r="H96" s="795">
        <v>1</v>
      </c>
      <c r="I96" s="796">
        <v>0</v>
      </c>
      <c r="J96" s="797"/>
      <c r="K96" s="796"/>
      <c r="L96" s="796"/>
      <c r="M96" s="978"/>
      <c r="N96" s="796"/>
      <c r="O96" s="796"/>
      <c r="P96" s="796"/>
      <c r="Q96" s="796"/>
      <c r="R96" s="796"/>
      <c r="S96" s="798"/>
    </row>
    <row r="97" spans="1:19" s="750" customFormat="1" ht="15" hidden="1" customHeight="1" x14ac:dyDescent="0.25">
      <c r="A97" s="746"/>
      <c r="B97" s="514" t="s">
        <v>33</v>
      </c>
      <c r="D97" s="875"/>
      <c r="E97" s="792"/>
      <c r="F97" s="793"/>
      <c r="G97" s="794"/>
      <c r="H97" s="799">
        <v>-2</v>
      </c>
      <c r="I97" s="800">
        <v>-1</v>
      </c>
      <c r="J97" s="801"/>
      <c r="K97" s="800"/>
      <c r="L97" s="800"/>
      <c r="M97" s="979"/>
      <c r="N97" s="800"/>
      <c r="O97" s="800"/>
      <c r="P97" s="800"/>
      <c r="Q97" s="800"/>
      <c r="R97" s="800"/>
      <c r="S97" s="802"/>
    </row>
    <row r="98" spans="1:19" s="655" customFormat="1" ht="15.95" customHeight="1" x14ac:dyDescent="0.25">
      <c r="A98" s="654"/>
      <c r="B98" s="1079" t="s">
        <v>383</v>
      </c>
      <c r="C98" s="1080"/>
      <c r="D98" s="1080"/>
      <c r="E98" s="1080"/>
      <c r="F98" s="1080"/>
      <c r="G98" s="1080"/>
      <c r="H98" s="1080"/>
      <c r="I98" s="1082"/>
      <c r="J98" s="1080"/>
      <c r="K98" s="1080"/>
      <c r="L98" s="1080"/>
      <c r="M98" s="1080"/>
      <c r="N98" s="1080"/>
      <c r="O98" s="1080"/>
      <c r="P98" s="1080"/>
      <c r="Q98" s="1080"/>
      <c r="R98" s="1080"/>
      <c r="S98" s="1081"/>
    </row>
    <row r="99" spans="1:19" ht="32.1" customHeight="1" x14ac:dyDescent="0.25">
      <c r="A99" s="516"/>
      <c r="B99" s="563" t="s">
        <v>318</v>
      </c>
      <c r="C99" s="912"/>
      <c r="D99" s="879"/>
      <c r="E99" s="697">
        <v>1358</v>
      </c>
      <c r="F99" s="529">
        <v>1892</v>
      </c>
      <c r="G99" s="518">
        <f>SUM(H99:S99)</f>
        <v>2331</v>
      </c>
      <c r="H99" s="822">
        <v>163</v>
      </c>
      <c r="I99" s="822">
        <v>157</v>
      </c>
      <c r="J99" s="629">
        <v>157</v>
      </c>
      <c r="K99" s="561">
        <v>203</v>
      </c>
      <c r="L99" s="561">
        <v>205</v>
      </c>
      <c r="M99" s="561">
        <v>208</v>
      </c>
      <c r="N99" s="512">
        <v>208</v>
      </c>
      <c r="O99" s="561">
        <v>202</v>
      </c>
      <c r="P99" s="512">
        <v>211</v>
      </c>
      <c r="Q99" s="512">
        <v>221</v>
      </c>
      <c r="R99" s="561">
        <v>201</v>
      </c>
      <c r="S99" s="532">
        <v>195</v>
      </c>
    </row>
    <row r="100" spans="1:19" ht="15" customHeight="1" x14ac:dyDescent="0.25">
      <c r="A100" s="516"/>
      <c r="B100" s="522" t="s">
        <v>319</v>
      </c>
      <c r="C100" s="903"/>
      <c r="D100" s="872"/>
      <c r="E100" s="672">
        <v>1317</v>
      </c>
      <c r="F100" s="530">
        <v>2033</v>
      </c>
      <c r="G100" s="518">
        <f>SUM(H100:S100)</f>
        <v>2125</v>
      </c>
      <c r="H100" s="822">
        <v>206</v>
      </c>
      <c r="I100" s="822">
        <v>199</v>
      </c>
      <c r="J100" s="630">
        <v>19</v>
      </c>
      <c r="K100" s="807">
        <v>194</v>
      </c>
      <c r="L100" s="807">
        <v>194</v>
      </c>
      <c r="M100" s="807">
        <v>187</v>
      </c>
      <c r="N100" s="807">
        <v>187</v>
      </c>
      <c r="O100" s="807">
        <v>188</v>
      </c>
      <c r="P100" s="520">
        <v>186</v>
      </c>
      <c r="Q100" s="520">
        <v>193</v>
      </c>
      <c r="R100" s="561">
        <v>187</v>
      </c>
      <c r="S100" s="532">
        <v>185</v>
      </c>
    </row>
    <row r="101" spans="1:19" ht="15" customHeight="1" x14ac:dyDescent="0.25">
      <c r="A101" s="516"/>
      <c r="B101" s="522" t="s">
        <v>320</v>
      </c>
      <c r="C101" s="750"/>
      <c r="E101" s="726">
        <v>0</v>
      </c>
      <c r="F101" s="727">
        <v>2487</v>
      </c>
      <c r="G101" s="733">
        <f>SUM(H101:S101)</f>
        <v>2007</v>
      </c>
      <c r="H101" s="822">
        <v>130</v>
      </c>
      <c r="I101" s="822">
        <v>135</v>
      </c>
      <c r="J101" s="964">
        <v>186</v>
      </c>
      <c r="K101" s="520">
        <v>185</v>
      </c>
      <c r="L101" s="807">
        <v>160</v>
      </c>
      <c r="M101" s="520">
        <v>187</v>
      </c>
      <c r="N101" s="520">
        <v>156</v>
      </c>
      <c r="O101" s="807">
        <v>184</v>
      </c>
      <c r="P101" s="520">
        <v>137</v>
      </c>
      <c r="Q101" s="520">
        <v>161</v>
      </c>
      <c r="R101" s="561">
        <v>186</v>
      </c>
      <c r="S101" s="532">
        <v>200</v>
      </c>
    </row>
    <row r="102" spans="1:19" ht="15" hidden="1" customHeight="1" x14ac:dyDescent="0.25">
      <c r="A102" s="516"/>
      <c r="B102" s="803" t="s">
        <v>32</v>
      </c>
      <c r="C102" s="913"/>
      <c r="E102" s="804"/>
      <c r="F102" s="805"/>
      <c r="G102" s="806"/>
      <c r="H102" s="519">
        <v>13</v>
      </c>
      <c r="I102" s="512"/>
      <c r="J102" s="520"/>
      <c r="K102" s="520"/>
      <c r="L102" s="520"/>
      <c r="M102" s="975"/>
      <c r="N102" s="520"/>
      <c r="O102" s="520"/>
      <c r="P102" s="520"/>
      <c r="Q102" s="520"/>
      <c r="R102" s="807"/>
      <c r="S102" s="532"/>
    </row>
    <row r="103" spans="1:19" ht="15" hidden="1" customHeight="1" x14ac:dyDescent="0.25">
      <c r="A103" s="516"/>
      <c r="B103" s="808" t="s">
        <v>33</v>
      </c>
      <c r="C103" s="913"/>
      <c r="E103" s="809"/>
      <c r="F103" s="810"/>
      <c r="G103" s="811"/>
      <c r="H103" s="524">
        <v>-208</v>
      </c>
      <c r="I103" s="525"/>
      <c r="J103" s="525"/>
      <c r="K103" s="525"/>
      <c r="L103" s="525"/>
      <c r="M103" s="551"/>
      <c r="N103" s="525"/>
      <c r="O103" s="525"/>
      <c r="P103" s="525"/>
      <c r="Q103" s="525"/>
      <c r="R103" s="812"/>
      <c r="S103" s="560"/>
    </row>
    <row r="104" spans="1:19" ht="15" hidden="1" customHeight="1" x14ac:dyDescent="0.25">
      <c r="A104" s="516"/>
      <c r="B104" s="1073" t="s">
        <v>163</v>
      </c>
      <c r="C104" s="1074"/>
      <c r="D104" s="1074"/>
      <c r="E104" s="1074"/>
      <c r="F104" s="1074"/>
      <c r="G104" s="1074"/>
      <c r="H104" s="1074"/>
      <c r="I104" s="1074"/>
      <c r="J104" s="1074"/>
      <c r="K104" s="1074"/>
      <c r="L104" s="1074"/>
      <c r="M104" s="1074"/>
      <c r="N104" s="1074"/>
      <c r="O104" s="1074"/>
      <c r="P104" s="1074"/>
      <c r="Q104" s="1074"/>
      <c r="R104" s="1074"/>
      <c r="S104" s="1075"/>
    </row>
    <row r="105" spans="1:19" ht="15" hidden="1" customHeight="1" x14ac:dyDescent="0.25">
      <c r="A105" s="516"/>
      <c r="B105" s="813" t="s">
        <v>164</v>
      </c>
      <c r="C105" s="750"/>
      <c r="E105" s="804"/>
      <c r="F105" s="805"/>
      <c r="G105" s="814">
        <v>17</v>
      </c>
      <c r="H105" s="629">
        <v>17</v>
      </c>
      <c r="I105" s="512"/>
      <c r="J105" s="512"/>
      <c r="K105" s="512"/>
      <c r="L105" s="512"/>
      <c r="M105" s="850"/>
      <c r="N105" s="512"/>
      <c r="O105" s="512"/>
      <c r="P105" s="512"/>
      <c r="Q105" s="512"/>
      <c r="R105" s="561"/>
      <c r="S105" s="532"/>
    </row>
    <row r="106" spans="1:19" ht="15" hidden="1" customHeight="1" x14ac:dyDescent="0.25">
      <c r="A106" s="516"/>
      <c r="B106" s="815" t="s">
        <v>165</v>
      </c>
      <c r="C106" s="914"/>
      <c r="D106" s="880"/>
      <c r="E106" s="809"/>
      <c r="F106" s="810"/>
      <c r="G106" s="816">
        <v>23</v>
      </c>
      <c r="H106" s="817">
        <v>23</v>
      </c>
      <c r="I106" s="818"/>
      <c r="J106" s="818"/>
      <c r="K106" s="818"/>
      <c r="L106" s="818"/>
      <c r="M106" s="980"/>
      <c r="N106" s="818"/>
      <c r="O106" s="818"/>
      <c r="P106" s="818"/>
      <c r="Q106" s="818"/>
      <c r="R106" s="819"/>
      <c r="S106" s="820"/>
    </row>
    <row r="107" spans="1:19" s="655" customFormat="1" ht="12" customHeight="1" x14ac:dyDescent="0.25">
      <c r="A107" s="654"/>
      <c r="B107" s="1051" t="s">
        <v>59</v>
      </c>
      <c r="C107" s="1052"/>
      <c r="D107" s="1052"/>
      <c r="E107" s="1052"/>
      <c r="F107" s="1052"/>
      <c r="G107" s="1052"/>
      <c r="H107" s="1052"/>
      <c r="I107" s="1052"/>
      <c r="J107" s="1052"/>
      <c r="K107" s="1052"/>
      <c r="L107" s="1052"/>
      <c r="M107" s="1052"/>
      <c r="N107" s="1052"/>
      <c r="O107" s="1052"/>
      <c r="P107" s="1052"/>
      <c r="Q107" s="1052"/>
      <c r="R107" s="1052"/>
      <c r="S107" s="1053"/>
    </row>
    <row r="108" spans="1:19" s="750" customFormat="1" ht="24" customHeight="1" x14ac:dyDescent="0.25">
      <c r="A108" s="746"/>
      <c r="B108" s="509" t="s">
        <v>321</v>
      </c>
      <c r="C108" s="902"/>
      <c r="D108" s="871"/>
      <c r="E108" s="706">
        <v>4505</v>
      </c>
      <c r="F108" s="707">
        <v>3156</v>
      </c>
      <c r="G108" s="510">
        <f t="shared" ref="G108:G116" si="6">SUM(H108:S108)</f>
        <v>2025</v>
      </c>
      <c r="H108" s="747">
        <f>SUM(H109:H116)</f>
        <v>91</v>
      </c>
      <c r="I108" s="748">
        <v>169</v>
      </c>
      <c r="J108" s="748">
        <v>199</v>
      </c>
      <c r="K108" s="748">
        <v>215</v>
      </c>
      <c r="L108" s="748">
        <v>204</v>
      </c>
      <c r="M108" s="846">
        <v>172</v>
      </c>
      <c r="N108" s="748">
        <f>SUM(N109:N116)</f>
        <v>197</v>
      </c>
      <c r="O108" s="748">
        <v>217</v>
      </c>
      <c r="P108" s="748">
        <v>227</v>
      </c>
      <c r="Q108" s="748">
        <v>164</v>
      </c>
      <c r="R108" s="748">
        <v>170</v>
      </c>
      <c r="S108" s="749"/>
    </row>
    <row r="109" spans="1:19" s="750" customFormat="1" ht="24" customHeight="1" x14ac:dyDescent="0.25">
      <c r="A109" s="746"/>
      <c r="B109" s="762" t="s">
        <v>322</v>
      </c>
      <c r="C109" s="910"/>
      <c r="D109" s="873"/>
      <c r="E109" s="706">
        <v>2809</v>
      </c>
      <c r="F109" s="707">
        <v>1665</v>
      </c>
      <c r="G109" s="523">
        <f t="shared" si="6"/>
        <v>1490</v>
      </c>
      <c r="H109" s="747">
        <v>56</v>
      </c>
      <c r="I109" s="748">
        <v>127</v>
      </c>
      <c r="J109" s="748">
        <v>160</v>
      </c>
      <c r="K109" s="748">
        <v>153</v>
      </c>
      <c r="L109" s="748">
        <v>135</v>
      </c>
      <c r="M109" s="846">
        <v>133</v>
      </c>
      <c r="N109" s="748">
        <v>143</v>
      </c>
      <c r="O109" s="748">
        <v>168</v>
      </c>
      <c r="P109" s="748">
        <v>152</v>
      </c>
      <c r="Q109" s="748">
        <v>125</v>
      </c>
      <c r="R109" s="748">
        <v>138</v>
      </c>
      <c r="S109" s="749"/>
    </row>
    <row r="110" spans="1:19" s="750" customFormat="1" ht="24" customHeight="1" x14ac:dyDescent="0.25">
      <c r="A110" s="746"/>
      <c r="B110" s="762" t="s">
        <v>323</v>
      </c>
      <c r="C110" s="910"/>
      <c r="D110" s="873"/>
      <c r="E110" s="706">
        <v>125</v>
      </c>
      <c r="F110" s="707">
        <v>30</v>
      </c>
      <c r="G110" s="523">
        <f>SUM(H110:S110)</f>
        <v>24</v>
      </c>
      <c r="H110" s="747">
        <v>4</v>
      </c>
      <c r="I110" s="748">
        <v>2</v>
      </c>
      <c r="J110" s="748">
        <v>1</v>
      </c>
      <c r="K110" s="748">
        <v>1</v>
      </c>
      <c r="L110" s="748">
        <v>2</v>
      </c>
      <c r="M110" s="846">
        <v>2</v>
      </c>
      <c r="N110" s="748">
        <v>3</v>
      </c>
      <c r="O110" s="748">
        <v>3</v>
      </c>
      <c r="P110" s="748">
        <v>1</v>
      </c>
      <c r="Q110" s="748">
        <v>1</v>
      </c>
      <c r="R110" s="748">
        <v>4</v>
      </c>
      <c r="S110" s="749"/>
    </row>
    <row r="111" spans="1:19" s="750" customFormat="1" ht="24" customHeight="1" x14ac:dyDescent="0.25">
      <c r="A111" s="746"/>
      <c r="B111" s="762" t="s">
        <v>324</v>
      </c>
      <c r="C111" s="910"/>
      <c r="D111" s="873"/>
      <c r="E111" s="706">
        <v>18</v>
      </c>
      <c r="F111" s="707">
        <v>18</v>
      </c>
      <c r="G111" s="523">
        <f t="shared" si="6"/>
        <v>5</v>
      </c>
      <c r="H111" s="947">
        <v>0</v>
      </c>
      <c r="I111" s="748">
        <v>2</v>
      </c>
      <c r="J111" s="748">
        <v>0</v>
      </c>
      <c r="K111" s="748">
        <v>0</v>
      </c>
      <c r="L111" s="748">
        <v>0</v>
      </c>
      <c r="M111" s="846">
        <v>0</v>
      </c>
      <c r="N111" s="748">
        <v>1</v>
      </c>
      <c r="O111" s="748">
        <v>2</v>
      </c>
      <c r="P111" s="748">
        <v>0</v>
      </c>
      <c r="Q111" s="748">
        <v>0</v>
      </c>
      <c r="R111" s="748">
        <v>0</v>
      </c>
      <c r="S111" s="749"/>
    </row>
    <row r="112" spans="1:19" s="750" customFormat="1" ht="24" customHeight="1" x14ac:dyDescent="0.25">
      <c r="A112" s="746"/>
      <c r="B112" s="762" t="s">
        <v>325</v>
      </c>
      <c r="C112" s="910"/>
      <c r="D112" s="873"/>
      <c r="E112" s="706">
        <v>920</v>
      </c>
      <c r="F112" s="707">
        <v>1195</v>
      </c>
      <c r="G112" s="523">
        <f t="shared" si="6"/>
        <v>266</v>
      </c>
      <c r="H112" s="747">
        <v>15</v>
      </c>
      <c r="I112" s="748">
        <v>20</v>
      </c>
      <c r="J112" s="748">
        <v>17</v>
      </c>
      <c r="K112" s="748">
        <v>51</v>
      </c>
      <c r="L112" s="748">
        <v>23</v>
      </c>
      <c r="M112" s="846">
        <v>20</v>
      </c>
      <c r="N112" s="748">
        <v>26</v>
      </c>
      <c r="O112" s="748">
        <v>25</v>
      </c>
      <c r="P112" s="748">
        <v>23</v>
      </c>
      <c r="Q112" s="748">
        <v>25</v>
      </c>
      <c r="R112" s="748">
        <v>21</v>
      </c>
      <c r="S112" s="749"/>
    </row>
    <row r="113" spans="1:19" s="750" customFormat="1" ht="24" customHeight="1" x14ac:dyDescent="0.25">
      <c r="A113" s="746"/>
      <c r="B113" s="762" t="s">
        <v>326</v>
      </c>
      <c r="C113" s="910"/>
      <c r="D113" s="873"/>
      <c r="E113" s="706">
        <v>419</v>
      </c>
      <c r="F113" s="707">
        <v>18</v>
      </c>
      <c r="G113" s="523">
        <f t="shared" si="6"/>
        <v>39</v>
      </c>
      <c r="H113" s="747">
        <v>1</v>
      </c>
      <c r="I113" s="748">
        <v>6</v>
      </c>
      <c r="J113" s="748">
        <v>3</v>
      </c>
      <c r="K113" s="748">
        <v>4</v>
      </c>
      <c r="L113" s="748">
        <v>3</v>
      </c>
      <c r="M113" s="846">
        <v>4</v>
      </c>
      <c r="N113" s="748">
        <v>7</v>
      </c>
      <c r="O113" s="748">
        <v>4</v>
      </c>
      <c r="P113" s="748">
        <v>3</v>
      </c>
      <c r="Q113" s="748">
        <v>3</v>
      </c>
      <c r="R113" s="748">
        <v>1</v>
      </c>
      <c r="S113" s="749"/>
    </row>
    <row r="114" spans="1:19" s="750" customFormat="1" ht="24" customHeight="1" x14ac:dyDescent="0.25">
      <c r="A114" s="746"/>
      <c r="B114" s="762" t="s">
        <v>327</v>
      </c>
      <c r="C114" s="910"/>
      <c r="D114" s="873"/>
      <c r="E114" s="706">
        <v>71</v>
      </c>
      <c r="F114" s="707">
        <v>65</v>
      </c>
      <c r="G114" s="523">
        <f t="shared" si="6"/>
        <v>34</v>
      </c>
      <c r="H114" s="747">
        <v>2</v>
      </c>
      <c r="I114" s="748">
        <v>2</v>
      </c>
      <c r="J114" s="748">
        <v>3</v>
      </c>
      <c r="K114" s="748">
        <v>1</v>
      </c>
      <c r="L114" s="748">
        <v>4</v>
      </c>
      <c r="M114" s="846">
        <v>3</v>
      </c>
      <c r="N114" s="748">
        <v>5</v>
      </c>
      <c r="O114" s="748">
        <v>3</v>
      </c>
      <c r="P114" s="748">
        <v>5</v>
      </c>
      <c r="Q114" s="748">
        <v>4</v>
      </c>
      <c r="R114" s="748">
        <v>2</v>
      </c>
      <c r="S114" s="749"/>
    </row>
    <row r="115" spans="1:19" s="750" customFormat="1" ht="24" customHeight="1" x14ac:dyDescent="0.25">
      <c r="A115" s="746"/>
      <c r="B115" s="760" t="s">
        <v>328</v>
      </c>
      <c r="C115" s="905"/>
      <c r="D115" s="874"/>
      <c r="E115" s="706">
        <v>92</v>
      </c>
      <c r="F115" s="707">
        <v>123</v>
      </c>
      <c r="G115" s="523">
        <f t="shared" si="6"/>
        <v>130</v>
      </c>
      <c r="H115" s="747">
        <v>8</v>
      </c>
      <c r="I115" s="748">
        <v>7</v>
      </c>
      <c r="J115" s="748">
        <v>8</v>
      </c>
      <c r="K115" s="748">
        <v>2</v>
      </c>
      <c r="L115" s="748">
        <v>35</v>
      </c>
      <c r="M115" s="846">
        <v>10</v>
      </c>
      <c r="N115" s="748">
        <v>9</v>
      </c>
      <c r="O115" s="748">
        <v>9</v>
      </c>
      <c r="P115" s="748">
        <v>37</v>
      </c>
      <c r="Q115" s="748">
        <v>3</v>
      </c>
      <c r="R115" s="748">
        <v>2</v>
      </c>
      <c r="S115" s="749"/>
    </row>
    <row r="116" spans="1:19" s="750" customFormat="1" ht="24" customHeight="1" x14ac:dyDescent="0.25">
      <c r="A116" s="746"/>
      <c r="B116" s="759" t="s">
        <v>329</v>
      </c>
      <c r="C116" s="915"/>
      <c r="D116" s="881"/>
      <c r="E116" s="706">
        <v>51</v>
      </c>
      <c r="F116" s="707">
        <v>56</v>
      </c>
      <c r="G116" s="542">
        <f t="shared" si="6"/>
        <v>37</v>
      </c>
      <c r="H116" s="747">
        <v>5</v>
      </c>
      <c r="I116" s="748">
        <v>3</v>
      </c>
      <c r="J116" s="748">
        <v>7</v>
      </c>
      <c r="K116" s="748">
        <v>3</v>
      </c>
      <c r="L116" s="748">
        <v>2</v>
      </c>
      <c r="M116" s="846">
        <v>0</v>
      </c>
      <c r="N116" s="748">
        <v>3</v>
      </c>
      <c r="O116" s="748">
        <v>3</v>
      </c>
      <c r="P116" s="748">
        <v>6</v>
      </c>
      <c r="Q116" s="748">
        <v>3</v>
      </c>
      <c r="R116" s="748">
        <v>2</v>
      </c>
      <c r="S116" s="749"/>
    </row>
    <row r="117" spans="1:19" s="655" customFormat="1" ht="15.95" customHeight="1" x14ac:dyDescent="0.25">
      <c r="A117" s="654"/>
      <c r="B117" s="1054" t="s">
        <v>265</v>
      </c>
      <c r="C117" s="1055"/>
      <c r="D117" s="1055"/>
      <c r="E117" s="1055"/>
      <c r="F117" s="1055"/>
      <c r="G117" s="1055"/>
      <c r="H117" s="1055"/>
      <c r="I117" s="1055"/>
      <c r="J117" s="1055"/>
      <c r="K117" s="1055"/>
      <c r="L117" s="1055"/>
      <c r="M117" s="1055"/>
      <c r="N117" s="1055"/>
      <c r="O117" s="1055"/>
      <c r="P117" s="1055"/>
      <c r="Q117" s="1055"/>
      <c r="R117" s="1055"/>
      <c r="S117" s="1056"/>
    </row>
    <row r="118" spans="1:19" s="655" customFormat="1" ht="15.95" customHeight="1" x14ac:dyDescent="0.25">
      <c r="A118" s="654"/>
      <c r="B118" s="1057" t="s">
        <v>73</v>
      </c>
      <c r="C118" s="1058"/>
      <c r="D118" s="1058"/>
      <c r="E118" s="1058"/>
      <c r="F118" s="1058"/>
      <c r="G118" s="1058"/>
      <c r="H118" s="1058"/>
      <c r="I118" s="1058"/>
      <c r="J118" s="1058"/>
      <c r="K118" s="1058"/>
      <c r="L118" s="1058"/>
      <c r="M118" s="1058"/>
      <c r="N118" s="1058"/>
      <c r="O118" s="1058"/>
      <c r="P118" s="1058"/>
      <c r="Q118" s="1058"/>
      <c r="R118" s="1058"/>
      <c r="S118" s="1059"/>
    </row>
    <row r="119" spans="1:19" ht="15" customHeight="1" x14ac:dyDescent="0.25">
      <c r="A119" s="516"/>
      <c r="B119" s="522" t="s">
        <v>330</v>
      </c>
      <c r="C119" s="750"/>
      <c r="D119" s="921" t="s">
        <v>384</v>
      </c>
      <c r="E119" s="945">
        <v>126.57142857142857</v>
      </c>
      <c r="F119" s="959">
        <v>120.41666666666667</v>
      </c>
      <c r="G119" s="715">
        <f>AVERAGE(H119:S119)</f>
        <v>102.41666666666667</v>
      </c>
      <c r="H119" s="564">
        <v>126</v>
      </c>
      <c r="I119" s="835">
        <v>135</v>
      </c>
      <c r="J119" s="565">
        <v>117</v>
      </c>
      <c r="K119" s="565">
        <v>100</v>
      </c>
      <c r="L119" s="565">
        <v>100</v>
      </c>
      <c r="M119" s="508">
        <v>105</v>
      </c>
      <c r="N119" s="565">
        <v>92</v>
      </c>
      <c r="O119" s="565">
        <v>90</v>
      </c>
      <c r="P119" s="565">
        <v>90</v>
      </c>
      <c r="Q119" s="565">
        <v>90</v>
      </c>
      <c r="R119" s="565">
        <v>90</v>
      </c>
      <c r="S119" s="567">
        <v>94</v>
      </c>
    </row>
    <row r="120" spans="1:19" ht="15" customHeight="1" x14ac:dyDescent="0.25">
      <c r="A120" s="516"/>
      <c r="B120" s="522" t="s">
        <v>331</v>
      </c>
      <c r="C120" s="750"/>
      <c r="D120" s="921" t="s">
        <v>384</v>
      </c>
      <c r="E120" s="945">
        <v>37</v>
      </c>
      <c r="F120" s="959">
        <v>33.75</v>
      </c>
      <c r="G120" s="715">
        <f>AVERAGE(H120:S120)</f>
        <v>11.916666666666666</v>
      </c>
      <c r="H120" s="564">
        <v>18</v>
      </c>
      <c r="I120" s="835">
        <v>16</v>
      </c>
      <c r="J120" s="565">
        <v>14</v>
      </c>
      <c r="K120" s="565">
        <v>15</v>
      </c>
      <c r="L120" s="565">
        <v>15</v>
      </c>
      <c r="M120" s="508">
        <v>18</v>
      </c>
      <c r="N120" s="565">
        <v>0</v>
      </c>
      <c r="O120" s="565">
        <v>0</v>
      </c>
      <c r="P120" s="565">
        <v>16</v>
      </c>
      <c r="Q120" s="565">
        <v>8</v>
      </c>
      <c r="R120" s="565">
        <v>16</v>
      </c>
      <c r="S120" s="567">
        <v>7</v>
      </c>
    </row>
    <row r="121" spans="1:19" ht="33" customHeight="1" x14ac:dyDescent="0.25">
      <c r="A121" s="516"/>
      <c r="B121" s="534" t="s">
        <v>332</v>
      </c>
      <c r="D121" s="921" t="s">
        <v>384</v>
      </c>
      <c r="E121" s="945">
        <v>1330.2857142857142</v>
      </c>
      <c r="F121" s="959">
        <v>103.16666666666667</v>
      </c>
      <c r="G121" s="715">
        <f>AVERAGE(H121:S121)</f>
        <v>0</v>
      </c>
      <c r="H121" s="564">
        <v>0</v>
      </c>
      <c r="I121" s="835">
        <v>0</v>
      </c>
      <c r="J121" s="565">
        <v>0</v>
      </c>
      <c r="K121" s="565">
        <v>0</v>
      </c>
      <c r="L121" s="565">
        <v>0</v>
      </c>
      <c r="M121" s="508">
        <v>0</v>
      </c>
      <c r="N121" s="565">
        <v>0</v>
      </c>
      <c r="O121" s="565">
        <v>0</v>
      </c>
      <c r="P121" s="565" t="s">
        <v>415</v>
      </c>
      <c r="Q121" s="565" t="s">
        <v>415</v>
      </c>
      <c r="R121" s="565" t="s">
        <v>415</v>
      </c>
      <c r="S121" s="565" t="s">
        <v>415</v>
      </c>
    </row>
    <row r="122" spans="1:19" ht="1.5" hidden="1" customHeight="1" x14ac:dyDescent="0.25">
      <c r="A122" s="516"/>
      <c r="B122" s="762" t="s">
        <v>270</v>
      </c>
      <c r="C122" s="907"/>
      <c r="E122" s="734">
        <v>0</v>
      </c>
      <c r="F122" s="735">
        <v>403</v>
      </c>
      <c r="G122" s="715">
        <f t="shared" ref="G122" si="7">AVERAGEIF(H122:S122,"&lt;&gt;0")</f>
        <v>74.400000000000006</v>
      </c>
      <c r="H122" s="564">
        <v>130</v>
      </c>
      <c r="I122" s="835" t="s">
        <v>144</v>
      </c>
      <c r="J122" s="565">
        <v>73</v>
      </c>
      <c r="K122" s="565">
        <v>90</v>
      </c>
      <c r="L122" s="565">
        <v>30</v>
      </c>
      <c r="M122" s="981">
        <v>49</v>
      </c>
      <c r="N122" s="565">
        <v>0</v>
      </c>
      <c r="O122" s="565">
        <v>0</v>
      </c>
      <c r="P122" s="565">
        <v>0</v>
      </c>
      <c r="Q122" s="565">
        <v>0</v>
      </c>
      <c r="R122" s="565">
        <v>0</v>
      </c>
      <c r="S122" s="567">
        <v>0</v>
      </c>
    </row>
    <row r="123" spans="1:19" ht="2.25" hidden="1" customHeight="1" x14ac:dyDescent="0.25">
      <c r="A123" s="516"/>
      <c r="B123" s="761" t="s">
        <v>271</v>
      </c>
      <c r="C123" s="907"/>
      <c r="E123" s="734">
        <v>0</v>
      </c>
      <c r="F123" s="735">
        <v>2006</v>
      </c>
      <c r="G123" s="716">
        <f t="shared" ref="G123" si="8">SUM(H123:S123)</f>
        <v>0</v>
      </c>
      <c r="H123" s="564">
        <v>0</v>
      </c>
      <c r="I123" s="836" t="s">
        <v>144</v>
      </c>
      <c r="J123" s="568" t="s">
        <v>144</v>
      </c>
      <c r="K123" s="568" t="s">
        <v>144</v>
      </c>
      <c r="L123" s="568" t="s">
        <v>144</v>
      </c>
      <c r="M123" s="982" t="s">
        <v>144</v>
      </c>
      <c r="N123" s="568">
        <v>0</v>
      </c>
      <c r="O123" s="568">
        <v>0</v>
      </c>
      <c r="P123" s="568">
        <v>0</v>
      </c>
      <c r="Q123" s="568">
        <v>0</v>
      </c>
      <c r="R123" s="568">
        <v>0</v>
      </c>
      <c r="S123" s="567">
        <v>0</v>
      </c>
    </row>
    <row r="124" spans="1:19" s="655" customFormat="1" ht="15.95" customHeight="1" x14ac:dyDescent="0.25">
      <c r="A124" s="654"/>
      <c r="B124" s="1060" t="s">
        <v>336</v>
      </c>
      <c r="C124" s="1061"/>
      <c r="D124" s="1061"/>
      <c r="E124" s="1061"/>
      <c r="F124" s="1061"/>
      <c r="G124" s="1061"/>
      <c r="H124" s="1061"/>
      <c r="I124" s="1061"/>
      <c r="J124" s="1061"/>
      <c r="K124" s="1061"/>
      <c r="L124" s="1061"/>
      <c r="M124" s="1061"/>
      <c r="N124" s="1061"/>
      <c r="O124" s="1061"/>
      <c r="P124" s="1061"/>
      <c r="Q124" s="1061"/>
      <c r="R124" s="1061"/>
      <c r="S124" s="1062"/>
    </row>
    <row r="125" spans="1:19" ht="15" customHeight="1" x14ac:dyDescent="0.25">
      <c r="A125" s="516"/>
      <c r="B125" s="536" t="s">
        <v>390</v>
      </c>
      <c r="E125" s="736">
        <v>0</v>
      </c>
      <c r="F125" s="737">
        <v>222633</v>
      </c>
      <c r="G125" s="738">
        <f>SUM(H125:S125)</f>
        <v>278076</v>
      </c>
      <c r="H125" s="537">
        <v>22891</v>
      </c>
      <c r="I125" s="538">
        <v>23188</v>
      </c>
      <c r="J125" s="538">
        <v>23598</v>
      </c>
      <c r="K125" s="538">
        <v>24015</v>
      </c>
      <c r="L125" s="538">
        <v>24386</v>
      </c>
      <c r="M125" s="512">
        <v>24651</v>
      </c>
      <c r="N125" s="538">
        <v>25009</v>
      </c>
      <c r="O125" s="538">
        <v>23898</v>
      </c>
      <c r="P125" s="538">
        <v>23060</v>
      </c>
      <c r="Q125" s="538">
        <v>22063</v>
      </c>
      <c r="R125" s="538">
        <v>21303</v>
      </c>
      <c r="S125" s="569">
        <v>20014</v>
      </c>
    </row>
    <row r="126" spans="1:19" ht="15" customHeight="1" x14ac:dyDescent="0.25">
      <c r="A126" s="516"/>
      <c r="B126" s="534" t="s">
        <v>333</v>
      </c>
      <c r="E126" s="736">
        <v>0</v>
      </c>
      <c r="F126" s="737">
        <v>412422</v>
      </c>
      <c r="G126" s="738">
        <f>SUM(H126:S126)</f>
        <v>523031</v>
      </c>
      <c r="H126" s="540">
        <v>43566</v>
      </c>
      <c r="I126" s="541">
        <v>44008</v>
      </c>
      <c r="J126" s="541">
        <v>44668</v>
      </c>
      <c r="K126" s="541">
        <v>45282</v>
      </c>
      <c r="L126" s="541">
        <v>45951</v>
      </c>
      <c r="M126" s="520">
        <v>46438</v>
      </c>
      <c r="N126" s="538">
        <v>47006</v>
      </c>
      <c r="O126" s="541">
        <v>44699</v>
      </c>
      <c r="P126" s="541">
        <v>43111</v>
      </c>
      <c r="Q126" s="541">
        <v>41154</v>
      </c>
      <c r="R126" s="541">
        <v>39629</v>
      </c>
      <c r="S126" s="539">
        <v>37519</v>
      </c>
    </row>
    <row r="127" spans="1:19" ht="15" hidden="1" customHeight="1" x14ac:dyDescent="0.25">
      <c r="A127" s="516"/>
      <c r="B127" s="535" t="s">
        <v>334</v>
      </c>
      <c r="E127" s="736">
        <v>0</v>
      </c>
      <c r="F127" s="737">
        <v>0</v>
      </c>
      <c r="G127" s="738">
        <f>SUM(H127:S127)</f>
        <v>0</v>
      </c>
      <c r="H127" s="570"/>
      <c r="I127" s="558"/>
      <c r="J127" s="558"/>
      <c r="K127" s="558"/>
      <c r="L127" s="558"/>
      <c r="M127" s="977"/>
      <c r="N127" s="538"/>
      <c r="O127" s="558"/>
      <c r="P127" s="558"/>
      <c r="Q127" s="558"/>
      <c r="R127" s="558"/>
      <c r="S127" s="571"/>
    </row>
    <row r="128" spans="1:19" ht="15" customHeight="1" x14ac:dyDescent="0.25">
      <c r="A128" s="516"/>
      <c r="B128" s="535" t="s">
        <v>335</v>
      </c>
      <c r="E128" s="736">
        <v>0</v>
      </c>
      <c r="F128" s="737">
        <v>56104956.780000001</v>
      </c>
      <c r="G128" s="738">
        <f>SUM(H128:S128)</f>
        <v>129624547</v>
      </c>
      <c r="H128" s="572">
        <v>10613484</v>
      </c>
      <c r="I128" s="573">
        <v>10309797</v>
      </c>
      <c r="J128" s="573">
        <v>10496691</v>
      </c>
      <c r="K128" s="573">
        <v>11386134</v>
      </c>
      <c r="L128" s="573">
        <v>11557489</v>
      </c>
      <c r="M128" s="977">
        <v>11676755</v>
      </c>
      <c r="N128" s="538">
        <v>11670928</v>
      </c>
      <c r="O128" s="573">
        <v>11177549</v>
      </c>
      <c r="P128" s="573">
        <v>10843651</v>
      </c>
      <c r="Q128" s="573">
        <v>10411246</v>
      </c>
      <c r="R128" s="573">
        <v>10016836</v>
      </c>
      <c r="S128" s="575">
        <v>9463987</v>
      </c>
    </row>
    <row r="129" spans="1:19" s="655" customFormat="1" ht="15.95" customHeight="1" x14ac:dyDescent="0.25">
      <c r="A129" s="654"/>
      <c r="B129" s="1060" t="s">
        <v>385</v>
      </c>
      <c r="C129" s="1061"/>
      <c r="D129" s="1061"/>
      <c r="E129" s="1061"/>
      <c r="F129" s="1061"/>
      <c r="G129" s="1061"/>
      <c r="H129" s="1061"/>
      <c r="I129" s="1061"/>
      <c r="J129" s="1061"/>
      <c r="K129" s="1061"/>
      <c r="L129" s="1061"/>
      <c r="M129" s="1061"/>
      <c r="N129" s="1061"/>
      <c r="O129" s="1061"/>
      <c r="P129" s="1061"/>
      <c r="Q129" s="1061"/>
      <c r="R129" s="1061"/>
      <c r="S129" s="1062"/>
    </row>
    <row r="130" spans="1:19" ht="19.5" customHeight="1" x14ac:dyDescent="0.25">
      <c r="A130" s="516"/>
      <c r="B130" s="536" t="s">
        <v>386</v>
      </c>
      <c r="E130" s="724">
        <v>0</v>
      </c>
      <c r="F130" s="725">
        <v>559666</v>
      </c>
      <c r="G130" s="739">
        <f>SUM(H130:S130)</f>
        <v>846617</v>
      </c>
      <c r="H130" s="821">
        <v>62990</v>
      </c>
      <c r="I130" s="538">
        <v>65382</v>
      </c>
      <c r="J130" s="831">
        <v>67473</v>
      </c>
      <c r="K130" s="831">
        <v>69511</v>
      </c>
      <c r="L130" s="831">
        <v>70783</v>
      </c>
      <c r="M130" s="512">
        <v>71438</v>
      </c>
      <c r="N130" s="538">
        <v>72052</v>
      </c>
      <c r="O130" s="538">
        <v>72572</v>
      </c>
      <c r="P130" s="538">
        <v>73070</v>
      </c>
      <c r="Q130" s="538">
        <v>73374</v>
      </c>
      <c r="R130" s="538">
        <v>73728</v>
      </c>
      <c r="S130" s="513">
        <v>74244</v>
      </c>
    </row>
    <row r="131" spans="1:19" ht="12.6" hidden="1" customHeight="1" x14ac:dyDescent="0.25">
      <c r="A131" s="516"/>
      <c r="B131" s="534" t="s">
        <v>337</v>
      </c>
      <c r="E131" s="724">
        <v>0</v>
      </c>
      <c r="F131" s="725">
        <v>12670</v>
      </c>
      <c r="G131" s="739">
        <f>SUM(H131:S131)</f>
        <v>0</v>
      </c>
      <c r="H131" s="524"/>
      <c r="I131" s="525"/>
      <c r="J131" s="525"/>
      <c r="K131" s="525"/>
      <c r="L131" s="525"/>
      <c r="M131" s="525"/>
      <c r="N131" s="512"/>
      <c r="O131" s="525"/>
      <c r="P131" s="525"/>
      <c r="Q131" s="525"/>
      <c r="R131" s="525"/>
      <c r="S131" s="521"/>
    </row>
    <row r="132" spans="1:19" ht="15" customHeight="1" x14ac:dyDescent="0.25">
      <c r="A132" s="516"/>
      <c r="B132" s="535" t="s">
        <v>338</v>
      </c>
      <c r="E132" s="724">
        <v>0</v>
      </c>
      <c r="F132" s="725">
        <v>7734</v>
      </c>
      <c r="G132" s="739">
        <f>SUM(H132:S132)</f>
        <v>6658</v>
      </c>
      <c r="H132" s="524">
        <v>496</v>
      </c>
      <c r="I132" s="525">
        <v>512</v>
      </c>
      <c r="J132" s="525">
        <v>552</v>
      </c>
      <c r="K132" s="525">
        <v>585</v>
      </c>
      <c r="L132" s="525">
        <v>595</v>
      </c>
      <c r="M132" s="525">
        <v>594</v>
      </c>
      <c r="N132" s="512">
        <v>544</v>
      </c>
      <c r="O132" s="525">
        <v>556</v>
      </c>
      <c r="P132" s="525">
        <v>550</v>
      </c>
      <c r="Q132" s="525">
        <v>553</v>
      </c>
      <c r="R132" s="525">
        <v>557</v>
      </c>
      <c r="S132" s="526">
        <v>564</v>
      </c>
    </row>
    <row r="133" spans="1:19" ht="38.25" x14ac:dyDescent="0.25">
      <c r="A133" s="516"/>
      <c r="B133" s="900" t="s">
        <v>370</v>
      </c>
      <c r="C133" s="916"/>
      <c r="D133" s="876"/>
      <c r="E133" s="724">
        <v>0</v>
      </c>
      <c r="F133" s="725">
        <v>1.8613464253625978</v>
      </c>
      <c r="G133" s="739">
        <f>SUM(H133:S133)</f>
        <v>2.6174320622582412</v>
      </c>
      <c r="H133" s="849">
        <f>SUM(H132,H130)/T176</f>
        <v>0.19474412341217864</v>
      </c>
      <c r="I133" s="849">
        <f>SUM(I132,I130)/T176</f>
        <v>0.20213069445424345</v>
      </c>
      <c r="J133" s="849">
        <f>SUM(J132,J130)/T176</f>
        <v>0.20866756442543949</v>
      </c>
      <c r="K133" s="849">
        <f>SUM(K132,K130)/T176</f>
        <v>0.21502038362316217</v>
      </c>
      <c r="L133" s="849">
        <f>SUM(L132,L130)/T176</f>
        <v>0.21895293514970995</v>
      </c>
      <c r="M133" s="999">
        <f>SUM(M132,M130)/T176</f>
        <v>0.22095908858056976</v>
      </c>
      <c r="N133" s="999">
        <f>SUM(N132,N130)/T176</f>
        <v>0.22268916585121948</v>
      </c>
      <c r="O133" s="999">
        <f>SUM(O132,O130)/T176</f>
        <v>0.22432108270935008</v>
      </c>
      <c r="P133" s="999">
        <f>SUM(P132,P130)/T176</f>
        <v>0.22583029905183177</v>
      </c>
      <c r="Q133" s="999">
        <f>SUM(Q132,Q130)/T176</f>
        <v>0.2267720255094372</v>
      </c>
      <c r="R133" s="999">
        <f>SUM(R132,R130)/T176</f>
        <v>0.22787019512449502</v>
      </c>
      <c r="S133" s="999">
        <f>SUM(S132,S130)/T176</f>
        <v>0.2294745043666046</v>
      </c>
    </row>
    <row r="134" spans="1:19" ht="27" customHeight="1" x14ac:dyDescent="0.25">
      <c r="A134" s="516"/>
      <c r="B134" s="901" t="s">
        <v>339</v>
      </c>
      <c r="C134" s="916"/>
      <c r="D134" s="876"/>
      <c r="E134" s="724">
        <v>0</v>
      </c>
      <c r="F134" s="740">
        <v>3850262</v>
      </c>
      <c r="G134" s="739">
        <f>SUM(H134:S134)</f>
        <v>2687728</v>
      </c>
      <c r="H134" s="578">
        <v>218940</v>
      </c>
      <c r="I134" s="579">
        <v>215028</v>
      </c>
      <c r="J134" s="579">
        <v>230525</v>
      </c>
      <c r="K134" s="579">
        <v>244857</v>
      </c>
      <c r="L134" s="579">
        <v>245044</v>
      </c>
      <c r="M134" s="862">
        <v>247616</v>
      </c>
      <c r="N134" s="600">
        <v>205702</v>
      </c>
      <c r="O134" s="579">
        <v>215311</v>
      </c>
      <c r="P134" s="579">
        <v>222083</v>
      </c>
      <c r="Q134" s="579">
        <v>211062</v>
      </c>
      <c r="R134" s="579">
        <v>211821</v>
      </c>
      <c r="S134" s="580">
        <v>219739</v>
      </c>
    </row>
    <row r="135" spans="1:19" ht="15" customHeight="1" x14ac:dyDescent="0.25">
      <c r="A135" s="516"/>
      <c r="B135" s="901" t="s">
        <v>387</v>
      </c>
      <c r="C135" s="916"/>
      <c r="D135" s="876"/>
      <c r="E135" s="729"/>
      <c r="F135" s="732"/>
      <c r="G135" s="897"/>
      <c r="H135" s="899" t="s">
        <v>397</v>
      </c>
      <c r="I135" s="899" t="s">
        <v>397</v>
      </c>
      <c r="J135" s="899" t="s">
        <v>397</v>
      </c>
      <c r="K135" s="899" t="s">
        <v>397</v>
      </c>
      <c r="L135" s="899" t="s">
        <v>397</v>
      </c>
      <c r="M135" s="983" t="s">
        <v>397</v>
      </c>
      <c r="N135" s="983" t="s">
        <v>397</v>
      </c>
      <c r="O135" s="983" t="s">
        <v>397</v>
      </c>
      <c r="P135" s="983" t="s">
        <v>397</v>
      </c>
      <c r="Q135" s="983" t="s">
        <v>397</v>
      </c>
      <c r="R135" s="983" t="s">
        <v>397</v>
      </c>
      <c r="S135" s="983" t="s">
        <v>397</v>
      </c>
    </row>
    <row r="136" spans="1:19" s="655" customFormat="1" ht="15.75" customHeight="1" x14ac:dyDescent="0.25">
      <c r="A136" s="654"/>
      <c r="B136" s="1063" t="s">
        <v>88</v>
      </c>
      <c r="C136" s="1064"/>
      <c r="D136" s="1064"/>
      <c r="E136" s="1064"/>
      <c r="F136" s="1064"/>
      <c r="G136" s="1064"/>
      <c r="H136" s="1064"/>
      <c r="I136" s="1064"/>
      <c r="J136" s="1064"/>
      <c r="K136" s="1064"/>
      <c r="L136" s="1064"/>
      <c r="M136" s="1064"/>
      <c r="N136" s="1064"/>
      <c r="O136" s="1064"/>
      <c r="P136" s="1064"/>
      <c r="Q136" s="1064"/>
      <c r="R136" s="1064"/>
      <c r="S136" s="1065"/>
    </row>
    <row r="137" spans="1:19" s="655" customFormat="1" ht="15.95" customHeight="1" x14ac:dyDescent="0.25">
      <c r="A137" s="654"/>
      <c r="B137" s="1066" t="s">
        <v>87</v>
      </c>
      <c r="C137" s="1067"/>
      <c r="D137" s="1067"/>
      <c r="E137" s="1067"/>
      <c r="F137" s="1067"/>
      <c r="G137" s="1067"/>
      <c r="H137" s="1067"/>
      <c r="I137" s="1067"/>
      <c r="J137" s="1067"/>
      <c r="K137" s="1067"/>
      <c r="L137" s="1067"/>
      <c r="M137" s="1067"/>
      <c r="N137" s="1067"/>
      <c r="O137" s="1067"/>
      <c r="P137" s="1067"/>
      <c r="Q137" s="1067"/>
      <c r="R137" s="1067"/>
      <c r="S137" s="1068"/>
    </row>
    <row r="138" spans="1:19" ht="15" customHeight="1" x14ac:dyDescent="0.25">
      <c r="A138" s="516"/>
      <c r="B138" s="536" t="s">
        <v>395</v>
      </c>
      <c r="E138" s="724">
        <v>0</v>
      </c>
      <c r="F138" s="725">
        <v>4108</v>
      </c>
      <c r="G138" s="739">
        <f>SUM(H138:S138)</f>
        <v>1991</v>
      </c>
      <c r="H138" s="511">
        <v>174</v>
      </c>
      <c r="I138" s="561">
        <v>164</v>
      </c>
      <c r="J138" s="561">
        <v>174</v>
      </c>
      <c r="K138" s="561">
        <v>167</v>
      </c>
      <c r="L138" s="561">
        <v>172</v>
      </c>
      <c r="M138" s="561">
        <v>169</v>
      </c>
      <c r="N138" s="512">
        <v>167</v>
      </c>
      <c r="O138" s="561">
        <v>166</v>
      </c>
      <c r="P138" s="561">
        <f>SUM(P139:P140)</f>
        <v>169</v>
      </c>
      <c r="Q138" s="561">
        <v>163</v>
      </c>
      <c r="R138" s="561">
        <v>152</v>
      </c>
      <c r="S138" s="561">
        <v>154</v>
      </c>
    </row>
    <row r="139" spans="1:19" ht="15" customHeight="1" x14ac:dyDescent="0.25">
      <c r="A139" s="516"/>
      <c r="B139" s="762" t="s">
        <v>340</v>
      </c>
      <c r="C139" s="907"/>
      <c r="E139" s="724">
        <v>0</v>
      </c>
      <c r="F139" s="725">
        <v>3156</v>
      </c>
      <c r="G139" s="739">
        <f>SUM(H139:S139)</f>
        <v>1728</v>
      </c>
      <c r="H139" s="519">
        <v>156</v>
      </c>
      <c r="I139" s="520">
        <v>149</v>
      </c>
      <c r="J139" s="520">
        <v>151</v>
      </c>
      <c r="K139" s="561">
        <v>145</v>
      </c>
      <c r="L139" s="561">
        <v>148</v>
      </c>
      <c r="M139" s="561">
        <v>146</v>
      </c>
      <c r="N139" s="512">
        <v>147</v>
      </c>
      <c r="O139" s="807">
        <v>141</v>
      </c>
      <c r="P139" s="520">
        <v>138</v>
      </c>
      <c r="Q139" s="520">
        <v>139</v>
      </c>
      <c r="R139" s="520">
        <v>134</v>
      </c>
      <c r="S139" s="521">
        <v>134</v>
      </c>
    </row>
    <row r="140" spans="1:19" ht="15" customHeight="1" x14ac:dyDescent="0.25">
      <c r="A140" s="516"/>
      <c r="B140" s="762" t="s">
        <v>341</v>
      </c>
      <c r="C140" s="907"/>
      <c r="E140" s="724">
        <v>0</v>
      </c>
      <c r="F140" s="725">
        <v>952</v>
      </c>
      <c r="G140" s="739">
        <f>SUM(H140:S140)</f>
        <v>261</v>
      </c>
      <c r="H140" s="519">
        <v>18</v>
      </c>
      <c r="I140" s="520">
        <v>15</v>
      </c>
      <c r="J140" s="520">
        <v>19</v>
      </c>
      <c r="K140" s="561">
        <v>22</v>
      </c>
      <c r="L140" s="561">
        <v>24</v>
      </c>
      <c r="M140" s="561">
        <v>23</v>
      </c>
      <c r="N140" s="512">
        <v>20</v>
      </c>
      <c r="O140" s="807">
        <v>25</v>
      </c>
      <c r="P140" s="520">
        <v>31</v>
      </c>
      <c r="Q140" s="520">
        <v>24</v>
      </c>
      <c r="R140" s="520">
        <v>18</v>
      </c>
      <c r="S140" s="521">
        <v>22</v>
      </c>
    </row>
    <row r="141" spans="1:19" ht="15" customHeight="1" x14ac:dyDescent="0.25">
      <c r="A141" s="516"/>
      <c r="B141" s="535" t="s">
        <v>342</v>
      </c>
      <c r="E141" s="724">
        <v>0</v>
      </c>
      <c r="F141" s="725">
        <v>883408</v>
      </c>
      <c r="G141" s="739">
        <f>SUM(H141:S141)</f>
        <v>568506</v>
      </c>
      <c r="H141" s="578">
        <v>36093</v>
      </c>
      <c r="I141" s="574">
        <v>33490</v>
      </c>
      <c r="J141" s="574">
        <v>34900</v>
      </c>
      <c r="K141" s="574">
        <v>38062</v>
      </c>
      <c r="L141" s="574">
        <v>36230</v>
      </c>
      <c r="M141" s="551">
        <v>34314</v>
      </c>
      <c r="N141" s="574">
        <v>36656</v>
      </c>
      <c r="O141" s="923">
        <v>34862</v>
      </c>
      <c r="P141" s="574">
        <v>179586</v>
      </c>
      <c r="Q141" s="574">
        <v>34766</v>
      </c>
      <c r="R141" s="574">
        <v>34813</v>
      </c>
      <c r="S141" s="575">
        <v>34734</v>
      </c>
    </row>
    <row r="142" spans="1:19" s="655" customFormat="1" ht="15.95" customHeight="1" x14ac:dyDescent="0.25">
      <c r="A142" s="654"/>
      <c r="B142" s="1051" t="s">
        <v>89</v>
      </c>
      <c r="C142" s="1052"/>
      <c r="D142" s="1052"/>
      <c r="E142" s="1052"/>
      <c r="F142" s="1052"/>
      <c r="G142" s="1052"/>
      <c r="H142" s="1052"/>
      <c r="I142" s="1052"/>
      <c r="J142" s="1052"/>
      <c r="K142" s="1052"/>
      <c r="L142" s="1052"/>
      <c r="M142" s="1052"/>
      <c r="N142" s="1052"/>
      <c r="O142" s="1052"/>
      <c r="P142" s="1052"/>
      <c r="Q142" s="1052"/>
      <c r="R142" s="1052"/>
      <c r="S142" s="1053"/>
    </row>
    <row r="143" spans="1:19" ht="15" customHeight="1" x14ac:dyDescent="0.25">
      <c r="A143" s="516"/>
      <c r="B143" s="536" t="s">
        <v>343</v>
      </c>
      <c r="E143" s="724">
        <v>0</v>
      </c>
      <c r="F143" s="725">
        <v>934</v>
      </c>
      <c r="G143" s="739">
        <f>SUM(H143:S143)</f>
        <v>0</v>
      </c>
      <c r="H143" s="892" t="s">
        <v>144</v>
      </c>
      <c r="I143" s="696" t="s">
        <v>144</v>
      </c>
      <c r="J143" s="892" t="s">
        <v>144</v>
      </c>
      <c r="K143" s="892" t="s">
        <v>144</v>
      </c>
      <c r="L143" s="892" t="s">
        <v>144</v>
      </c>
      <c r="M143" s="984" t="s">
        <v>144</v>
      </c>
      <c r="N143" s="984" t="s">
        <v>144</v>
      </c>
      <c r="O143" s="984" t="s">
        <v>144</v>
      </c>
      <c r="P143" s="984" t="s">
        <v>144</v>
      </c>
      <c r="Q143" s="984" t="s">
        <v>144</v>
      </c>
      <c r="R143" s="984" t="s">
        <v>144</v>
      </c>
      <c r="S143" s="984" t="s">
        <v>144</v>
      </c>
    </row>
    <row r="144" spans="1:19" ht="15" hidden="1" customHeight="1" x14ac:dyDescent="0.25">
      <c r="A144" s="516"/>
      <c r="B144" s="581" t="s">
        <v>344</v>
      </c>
      <c r="C144" s="916"/>
      <c r="D144" s="876"/>
      <c r="E144" s="741">
        <v>0</v>
      </c>
      <c r="F144" s="742">
        <v>0</v>
      </c>
      <c r="G144" s="739">
        <f>SUM(H144:S144)</f>
        <v>0</v>
      </c>
      <c r="H144" s="507"/>
      <c r="I144" s="696" t="s">
        <v>144</v>
      </c>
      <c r="J144" s="507"/>
      <c r="K144" s="507"/>
      <c r="L144" s="507"/>
      <c r="M144" s="985"/>
      <c r="N144" s="985"/>
      <c r="O144" s="985"/>
      <c r="P144" s="985"/>
      <c r="Q144" s="985"/>
      <c r="R144" s="985"/>
      <c r="S144" s="985"/>
    </row>
    <row r="145" spans="1:19" ht="15" hidden="1" customHeight="1" x14ac:dyDescent="0.25">
      <c r="A145" s="516"/>
      <c r="B145" s="535" t="s">
        <v>345</v>
      </c>
      <c r="E145" s="743">
        <v>0</v>
      </c>
      <c r="F145" s="744">
        <v>0</v>
      </c>
      <c r="G145" s="745">
        <f>SUM(H145:S145)</f>
        <v>0</v>
      </c>
      <c r="H145" s="507"/>
      <c r="I145" s="696" t="s">
        <v>144</v>
      </c>
      <c r="J145" s="507"/>
      <c r="K145" s="507"/>
      <c r="L145" s="507"/>
      <c r="M145" s="985"/>
      <c r="N145" s="985"/>
      <c r="O145" s="985"/>
      <c r="P145" s="985"/>
      <c r="Q145" s="985"/>
      <c r="R145" s="985"/>
      <c r="S145" s="985"/>
    </row>
    <row r="146" spans="1:19" ht="15" customHeight="1" x14ac:dyDescent="0.25">
      <c r="A146" s="516"/>
      <c r="B146" s="534" t="s">
        <v>346</v>
      </c>
      <c r="C146" s="909"/>
      <c r="D146" s="871"/>
      <c r="E146" s="667">
        <v>5</v>
      </c>
      <c r="F146" s="518" t="s">
        <v>144</v>
      </c>
      <c r="G146" s="683"/>
      <c r="H146" s="507" t="s">
        <v>144</v>
      </c>
      <c r="I146" s="696" t="s">
        <v>144</v>
      </c>
      <c r="J146" s="507" t="s">
        <v>144</v>
      </c>
      <c r="K146" s="507" t="s">
        <v>144</v>
      </c>
      <c r="L146" s="507" t="s">
        <v>144</v>
      </c>
      <c r="M146" s="985" t="s">
        <v>144</v>
      </c>
      <c r="N146" s="985" t="s">
        <v>144</v>
      </c>
      <c r="O146" s="985" t="s">
        <v>144</v>
      </c>
      <c r="P146" s="985" t="s">
        <v>144</v>
      </c>
      <c r="Q146" s="985" t="s">
        <v>144</v>
      </c>
      <c r="R146" s="985" t="s">
        <v>144</v>
      </c>
      <c r="S146" s="985" t="s">
        <v>144</v>
      </c>
    </row>
    <row r="147" spans="1:19" ht="15" customHeight="1" x14ac:dyDescent="0.25">
      <c r="A147" s="516"/>
      <c r="B147" s="587" t="s">
        <v>347</v>
      </c>
      <c r="C147" s="917"/>
      <c r="D147" s="881"/>
      <c r="E147" s="537">
        <v>107</v>
      </c>
      <c r="F147" s="518">
        <v>34</v>
      </c>
      <c r="G147" s="542">
        <f>SUM(H147:S147)</f>
        <v>34</v>
      </c>
      <c r="H147" s="588">
        <v>7</v>
      </c>
      <c r="I147" s="589">
        <v>6</v>
      </c>
      <c r="J147" s="589">
        <v>1</v>
      </c>
      <c r="K147" s="589">
        <v>4</v>
      </c>
      <c r="L147" s="589">
        <v>4</v>
      </c>
      <c r="M147" s="1000">
        <v>1</v>
      </c>
      <c r="N147" s="589">
        <v>0</v>
      </c>
      <c r="O147" s="696">
        <v>2</v>
      </c>
      <c r="P147" s="589">
        <v>3</v>
      </c>
      <c r="Q147" s="589">
        <v>1</v>
      </c>
      <c r="R147" s="589">
        <v>2</v>
      </c>
      <c r="S147" s="590">
        <v>3</v>
      </c>
    </row>
    <row r="148" spans="1:19" s="655" customFormat="1" ht="15.95" customHeight="1" x14ac:dyDescent="0.25">
      <c r="A148" s="654"/>
      <c r="B148" s="1054" t="s">
        <v>266</v>
      </c>
      <c r="C148" s="1069"/>
      <c r="D148" s="1069"/>
      <c r="E148" s="1069"/>
      <c r="F148" s="1069"/>
      <c r="G148" s="1055"/>
      <c r="H148" s="1055"/>
      <c r="I148" s="1055"/>
      <c r="J148" s="1055"/>
      <c r="K148" s="1055"/>
      <c r="L148" s="1055"/>
      <c r="M148" s="1055"/>
      <c r="N148" s="1055"/>
      <c r="O148" s="1055"/>
      <c r="P148" s="1055"/>
      <c r="Q148" s="1055"/>
      <c r="R148" s="1055"/>
      <c r="S148" s="1056"/>
    </row>
    <row r="149" spans="1:19" s="655" customFormat="1" ht="15.95" customHeight="1" x14ac:dyDescent="0.25">
      <c r="A149" s="654"/>
      <c r="B149" s="1070" t="s">
        <v>94</v>
      </c>
      <c r="C149" s="1071"/>
      <c r="D149" s="1071"/>
      <c r="E149" s="1071"/>
      <c r="F149" s="1071"/>
      <c r="G149" s="1071"/>
      <c r="H149" s="1071"/>
      <c r="I149" s="1071"/>
      <c r="J149" s="1071"/>
      <c r="K149" s="1071"/>
      <c r="L149" s="1071"/>
      <c r="M149" s="1071"/>
      <c r="N149" s="1071"/>
      <c r="O149" s="1071"/>
      <c r="P149" s="1071"/>
      <c r="Q149" s="1071"/>
      <c r="R149" s="1071"/>
      <c r="S149" s="1072"/>
    </row>
    <row r="150" spans="1:19" ht="15" customHeight="1" x14ac:dyDescent="0.25">
      <c r="A150" s="516"/>
      <c r="B150" s="536" t="s">
        <v>348</v>
      </c>
      <c r="C150" s="909"/>
      <c r="D150" s="871"/>
      <c r="E150" s="701">
        <v>1117482.8899999999</v>
      </c>
      <c r="F150" s="960">
        <v>183973.25</v>
      </c>
      <c r="G150" s="591">
        <f t="shared" ref="G150" si="9">SUM(G151:G156)</f>
        <v>181770.77</v>
      </c>
      <c r="H150" s="923">
        <f>SUM(H151:H156)</f>
        <v>17773.590000000004</v>
      </c>
      <c r="I150" s="923">
        <f>SUM(I151:I156)</f>
        <v>23613.27</v>
      </c>
      <c r="J150" s="838">
        <f>SUM(J151:J155)</f>
        <v>10221.89</v>
      </c>
      <c r="K150" s="838">
        <f>SUM(K151:K155)</f>
        <v>9816.68</v>
      </c>
      <c r="L150" s="838">
        <v>22201</v>
      </c>
      <c r="M150" s="838">
        <v>11237.47</v>
      </c>
      <c r="N150" s="838">
        <f>SUM(N151:N156)</f>
        <v>12901.03</v>
      </c>
      <c r="O150" s="680">
        <v>12811.41</v>
      </c>
      <c r="P150" s="680">
        <v>17059.009999999998</v>
      </c>
      <c r="Q150" s="680">
        <f>SUM(Q151:Q156)+840</f>
        <v>17626.75</v>
      </c>
      <c r="R150" s="680">
        <f>SUM(R151:R156)</f>
        <v>13393.78</v>
      </c>
      <c r="S150" s="680">
        <v>13954.89</v>
      </c>
    </row>
    <row r="151" spans="1:19" ht="15" customHeight="1" x14ac:dyDescent="0.25">
      <c r="A151" s="516"/>
      <c r="B151" s="763" t="s">
        <v>349</v>
      </c>
      <c r="C151" s="918"/>
      <c r="D151" s="871"/>
      <c r="E151" s="701">
        <v>4279.6000000000004</v>
      </c>
      <c r="F151" s="960">
        <v>1071</v>
      </c>
      <c r="G151" s="591">
        <f>SUM(H151:S151)</f>
        <v>677</v>
      </c>
      <c r="H151" s="969">
        <v>150</v>
      </c>
      <c r="I151" s="551">
        <v>100</v>
      </c>
      <c r="J151" s="551">
        <v>27</v>
      </c>
      <c r="K151" s="551">
        <v>50</v>
      </c>
      <c r="L151" s="551">
        <v>70</v>
      </c>
      <c r="M151" s="551">
        <v>60</v>
      </c>
      <c r="N151" s="551">
        <v>60</v>
      </c>
      <c r="O151" s="551">
        <v>140</v>
      </c>
      <c r="P151" s="551">
        <v>20</v>
      </c>
      <c r="Q151" s="551">
        <v>0</v>
      </c>
      <c r="R151" s="551">
        <v>0</v>
      </c>
      <c r="S151" s="552">
        <v>0</v>
      </c>
    </row>
    <row r="152" spans="1:19" ht="15" customHeight="1" x14ac:dyDescent="0.25">
      <c r="A152" s="516"/>
      <c r="B152" s="762" t="s">
        <v>350</v>
      </c>
      <c r="C152" s="910"/>
      <c r="D152" s="873"/>
      <c r="E152" s="701">
        <v>1025086.8099999999</v>
      </c>
      <c r="F152" s="960">
        <v>125574.99</v>
      </c>
      <c r="G152" s="592">
        <f>SUM(H152:S152)</f>
        <v>147496.13</v>
      </c>
      <c r="H152" s="969">
        <v>14335.69</v>
      </c>
      <c r="I152" s="551">
        <v>18503.7</v>
      </c>
      <c r="J152" s="551">
        <v>8778.89</v>
      </c>
      <c r="K152" s="851">
        <v>9610</v>
      </c>
      <c r="L152" s="551">
        <v>13400.12</v>
      </c>
      <c r="M152" s="551">
        <v>10269.469999999999</v>
      </c>
      <c r="N152" s="551">
        <v>10719.03</v>
      </c>
      <c r="O152" s="851">
        <v>12411.41</v>
      </c>
      <c r="P152" s="967">
        <v>12802.15</v>
      </c>
      <c r="Q152" s="551">
        <v>11100</v>
      </c>
      <c r="R152" s="967">
        <v>11710.78</v>
      </c>
      <c r="S152" s="552">
        <v>13854.89</v>
      </c>
    </row>
    <row r="153" spans="1:19" ht="27.6" customHeight="1" x14ac:dyDescent="0.25">
      <c r="A153" s="516"/>
      <c r="B153" s="762" t="s">
        <v>351</v>
      </c>
      <c r="C153" s="910"/>
      <c r="D153" s="873"/>
      <c r="E153" s="701">
        <v>15284.54</v>
      </c>
      <c r="F153" s="960">
        <v>5226.96</v>
      </c>
      <c r="G153" s="592">
        <f t="shared" ref="G153:G156" si="10">SUM(H153:S153)</f>
        <v>2246.6799999999998</v>
      </c>
      <c r="H153" s="969">
        <v>250</v>
      </c>
      <c r="I153" s="551">
        <v>450</v>
      </c>
      <c r="J153" s="551">
        <v>210</v>
      </c>
      <c r="K153" s="851">
        <v>56.68</v>
      </c>
      <c r="L153" s="551">
        <v>160</v>
      </c>
      <c r="M153" s="551">
        <v>0</v>
      </c>
      <c r="N153" s="551">
        <v>320</v>
      </c>
      <c r="O153" s="551">
        <v>160</v>
      </c>
      <c r="P153" s="551">
        <v>160</v>
      </c>
      <c r="Q153" s="551">
        <v>0</v>
      </c>
      <c r="R153" s="967">
        <v>480</v>
      </c>
      <c r="S153" s="552">
        <v>0</v>
      </c>
    </row>
    <row r="154" spans="1:19" ht="15" customHeight="1" x14ac:dyDescent="0.25">
      <c r="A154" s="516"/>
      <c r="B154" s="762" t="s">
        <v>352</v>
      </c>
      <c r="C154" s="910"/>
      <c r="D154" s="873"/>
      <c r="E154" s="701">
        <v>52297.94</v>
      </c>
      <c r="F154" s="960">
        <v>43761.8</v>
      </c>
      <c r="G154" s="592">
        <f t="shared" si="10"/>
        <v>28958.059999999998</v>
      </c>
      <c r="H154" s="969">
        <v>2591</v>
      </c>
      <c r="I154" s="923">
        <v>4459.57</v>
      </c>
      <c r="J154" s="696">
        <v>856</v>
      </c>
      <c r="K154" s="851">
        <v>0</v>
      </c>
      <c r="L154" s="862">
        <v>8470.8799999999992</v>
      </c>
      <c r="M154" s="923">
        <v>908</v>
      </c>
      <c r="N154" s="551">
        <v>1036</v>
      </c>
      <c r="O154" s="551">
        <v>0</v>
      </c>
      <c r="P154" s="551">
        <v>3946.86</v>
      </c>
      <c r="Q154" s="551">
        <v>5586.75</v>
      </c>
      <c r="R154" s="967">
        <v>1103</v>
      </c>
      <c r="S154" s="552">
        <v>0</v>
      </c>
    </row>
    <row r="155" spans="1:19" ht="15" customHeight="1" x14ac:dyDescent="0.25">
      <c r="A155" s="516"/>
      <c r="B155" s="762" t="s">
        <v>353</v>
      </c>
      <c r="C155" s="910"/>
      <c r="D155" s="873"/>
      <c r="E155" s="701">
        <v>20534</v>
      </c>
      <c r="F155" s="960">
        <v>8338.5</v>
      </c>
      <c r="G155" s="592">
        <f t="shared" si="10"/>
        <v>2362.9</v>
      </c>
      <c r="H155" s="969">
        <v>446.9</v>
      </c>
      <c r="I155" s="551">
        <v>100</v>
      </c>
      <c r="J155" s="551">
        <v>350</v>
      </c>
      <c r="K155" s="851">
        <v>100</v>
      </c>
      <c r="L155" s="551">
        <v>100</v>
      </c>
      <c r="M155" s="551">
        <v>0</v>
      </c>
      <c r="N155" s="551">
        <v>766</v>
      </c>
      <c r="O155" s="551">
        <v>100</v>
      </c>
      <c r="P155" s="551">
        <v>100</v>
      </c>
      <c r="Q155" s="551">
        <v>100</v>
      </c>
      <c r="R155" s="967">
        <v>100</v>
      </c>
      <c r="S155" s="552">
        <v>100</v>
      </c>
    </row>
    <row r="156" spans="1:19" ht="15" customHeight="1" x14ac:dyDescent="0.25">
      <c r="A156" s="516"/>
      <c r="B156" s="761" t="s">
        <v>354</v>
      </c>
      <c r="C156" s="906"/>
      <c r="D156" s="872"/>
      <c r="E156" s="701">
        <v>0</v>
      </c>
      <c r="F156" s="960">
        <v>0</v>
      </c>
      <c r="G156" s="593">
        <f t="shared" si="10"/>
        <v>30</v>
      </c>
      <c r="H156" s="969">
        <v>0</v>
      </c>
      <c r="I156" s="550">
        <v>0</v>
      </c>
      <c r="J156" s="550">
        <v>0</v>
      </c>
      <c r="K156" s="551">
        <v>0</v>
      </c>
      <c r="L156" s="551">
        <v>0</v>
      </c>
      <c r="M156" s="551">
        <v>0</v>
      </c>
      <c r="N156" s="551">
        <v>0</v>
      </c>
      <c r="O156" s="551">
        <v>0</v>
      </c>
      <c r="P156" s="551">
        <v>30</v>
      </c>
      <c r="Q156" s="551">
        <v>0</v>
      </c>
      <c r="R156" s="967">
        <v>0</v>
      </c>
      <c r="S156" s="552">
        <v>0</v>
      </c>
    </row>
    <row r="157" spans="1:19" s="655" customFormat="1" ht="15.95" customHeight="1" x14ac:dyDescent="0.25">
      <c r="A157" s="654"/>
      <c r="B157" s="1060" t="s">
        <v>95</v>
      </c>
      <c r="C157" s="1061"/>
      <c r="D157" s="1061"/>
      <c r="E157" s="1061"/>
      <c r="F157" s="1061"/>
      <c r="G157" s="1061"/>
      <c r="H157" s="1061"/>
      <c r="I157" s="1061"/>
      <c r="J157" s="1061"/>
      <c r="K157" s="1061"/>
      <c r="L157" s="1061"/>
      <c r="M157" s="1061"/>
      <c r="N157" s="1061"/>
      <c r="O157" s="1061"/>
      <c r="P157" s="1061"/>
      <c r="Q157" s="1061"/>
      <c r="R157" s="1061"/>
      <c r="S157" s="1062"/>
    </row>
    <row r="158" spans="1:19" ht="15" customHeight="1" x14ac:dyDescent="0.25">
      <c r="A158" s="516"/>
      <c r="B158" s="536" t="s">
        <v>355</v>
      </c>
      <c r="C158" s="909"/>
      <c r="D158" s="871"/>
      <c r="E158" s="706">
        <v>79635</v>
      </c>
      <c r="F158" s="707">
        <v>26704</v>
      </c>
      <c r="G158" s="510">
        <f>SUM(H158:S158)</f>
        <v>29850</v>
      </c>
      <c r="H158" s="537">
        <v>1943</v>
      </c>
      <c r="I158" s="537">
        <v>2518</v>
      </c>
      <c r="J158" s="537">
        <v>2265</v>
      </c>
      <c r="K158" s="537">
        <v>2477</v>
      </c>
      <c r="L158" s="537">
        <v>2078</v>
      </c>
      <c r="M158" s="511">
        <v>2013</v>
      </c>
      <c r="N158" s="537">
        <v>2953</v>
      </c>
      <c r="O158" s="537">
        <v>3219</v>
      </c>
      <c r="P158" s="566">
        <v>3336</v>
      </c>
      <c r="Q158" s="566">
        <v>2620</v>
      </c>
      <c r="R158" s="566">
        <v>2031</v>
      </c>
      <c r="S158" s="566">
        <v>2397</v>
      </c>
    </row>
    <row r="159" spans="1:19" ht="15" customHeight="1" x14ac:dyDescent="0.25">
      <c r="A159" s="516"/>
      <c r="B159" s="763" t="s">
        <v>97</v>
      </c>
      <c r="C159" s="918"/>
      <c r="D159" s="871"/>
      <c r="E159" s="706">
        <v>76884</v>
      </c>
      <c r="F159" s="707">
        <v>26634</v>
      </c>
      <c r="G159" s="510">
        <f t="shared" ref="G159:G162" si="11">SUM(H159:S159)</f>
        <v>29850</v>
      </c>
      <c r="H159" s="537">
        <v>1943</v>
      </c>
      <c r="I159" s="566">
        <v>2518</v>
      </c>
      <c r="J159" s="537">
        <v>2265</v>
      </c>
      <c r="K159" s="566">
        <v>2477</v>
      </c>
      <c r="L159" s="537">
        <v>2078</v>
      </c>
      <c r="M159" s="561">
        <v>2013</v>
      </c>
      <c r="N159" s="537">
        <v>2953</v>
      </c>
      <c r="O159" s="537">
        <v>3219</v>
      </c>
      <c r="P159" s="566">
        <v>3336</v>
      </c>
      <c r="Q159" s="566">
        <v>2620</v>
      </c>
      <c r="R159" s="566">
        <v>2031</v>
      </c>
      <c r="S159" s="566">
        <v>2397</v>
      </c>
    </row>
    <row r="160" spans="1:19" ht="15" customHeight="1" x14ac:dyDescent="0.25">
      <c r="A160" s="516"/>
      <c r="B160" s="762" t="s">
        <v>371</v>
      </c>
      <c r="C160" s="910"/>
      <c r="D160" s="873"/>
      <c r="E160" s="706">
        <v>2751</v>
      </c>
      <c r="F160" s="707">
        <v>70</v>
      </c>
      <c r="G160" s="523">
        <f t="shared" si="11"/>
        <v>0</v>
      </c>
      <c r="H160" s="537">
        <v>0</v>
      </c>
      <c r="I160" s="566">
        <v>0</v>
      </c>
      <c r="J160" s="566">
        <v>0</v>
      </c>
      <c r="K160" s="566">
        <v>0</v>
      </c>
      <c r="L160" s="566">
        <v>0</v>
      </c>
      <c r="M160" s="561">
        <v>0</v>
      </c>
      <c r="N160" s="561">
        <v>0</v>
      </c>
      <c r="O160" s="561">
        <v>0</v>
      </c>
      <c r="P160" s="566">
        <v>0</v>
      </c>
      <c r="Q160" s="566">
        <v>0</v>
      </c>
      <c r="R160" s="566">
        <v>0</v>
      </c>
      <c r="S160" s="594"/>
    </row>
    <row r="161" spans="1:20" ht="15" customHeight="1" x14ac:dyDescent="0.25">
      <c r="A161" s="516"/>
      <c r="B161" s="534" t="s">
        <v>356</v>
      </c>
      <c r="C161" s="911"/>
      <c r="D161" s="873"/>
      <c r="E161" s="706">
        <v>142077</v>
      </c>
      <c r="F161" s="707">
        <v>162447</v>
      </c>
      <c r="G161" s="523">
        <f t="shared" si="11"/>
        <v>153019</v>
      </c>
      <c r="H161" s="537">
        <v>10576</v>
      </c>
      <c r="I161" s="823">
        <v>11820</v>
      </c>
      <c r="J161" s="566">
        <v>11934</v>
      </c>
      <c r="K161" s="566">
        <v>12952</v>
      </c>
      <c r="L161" s="566">
        <v>12009</v>
      </c>
      <c r="M161" s="561">
        <v>9690</v>
      </c>
      <c r="N161" s="566">
        <v>11271</v>
      </c>
      <c r="O161" s="566">
        <v>11658</v>
      </c>
      <c r="P161" s="566">
        <v>14809</v>
      </c>
      <c r="Q161" s="566">
        <v>14787</v>
      </c>
      <c r="R161" s="566">
        <v>15489</v>
      </c>
      <c r="S161" s="955">
        <v>16024</v>
      </c>
    </row>
    <row r="162" spans="1:20" ht="15" customHeight="1" x14ac:dyDescent="0.25">
      <c r="A162" s="516"/>
      <c r="B162" s="762" t="s">
        <v>357</v>
      </c>
      <c r="C162" s="910"/>
      <c r="D162" s="873"/>
      <c r="E162" s="706">
        <v>138778</v>
      </c>
      <c r="F162" s="707">
        <v>160169</v>
      </c>
      <c r="G162" s="523">
        <f t="shared" si="11"/>
        <v>151149</v>
      </c>
      <c r="H162" s="537">
        <v>10402</v>
      </c>
      <c r="I162" s="823">
        <v>11589</v>
      </c>
      <c r="J162" s="566">
        <v>11733</v>
      </c>
      <c r="K162" s="566">
        <v>12736</v>
      </c>
      <c r="L162" s="566">
        <v>11886</v>
      </c>
      <c r="M162" s="561">
        <v>9557</v>
      </c>
      <c r="N162" s="566">
        <v>11171</v>
      </c>
      <c r="O162" s="566">
        <v>11530</v>
      </c>
      <c r="P162" s="566">
        <v>14646</v>
      </c>
      <c r="Q162" s="566">
        <v>14625</v>
      </c>
      <c r="R162" s="566">
        <v>15392</v>
      </c>
      <c r="S162" s="955">
        <v>15882</v>
      </c>
    </row>
    <row r="163" spans="1:20" ht="15" customHeight="1" x14ac:dyDescent="0.25">
      <c r="A163" s="516"/>
      <c r="B163" s="761" t="s">
        <v>358</v>
      </c>
      <c r="C163" s="906"/>
      <c r="D163" s="872"/>
      <c r="E163" s="938">
        <v>0.97384406810504653</v>
      </c>
      <c r="F163" s="939">
        <v>0.98455833333333354</v>
      </c>
      <c r="G163" s="946">
        <f>AVERAGE(H163:S163)</f>
        <v>0.98677500000000007</v>
      </c>
      <c r="H163" s="828">
        <v>0.98299999999999998</v>
      </c>
      <c r="I163" s="830">
        <v>0.98050000000000004</v>
      </c>
      <c r="J163" s="827">
        <v>0.98</v>
      </c>
      <c r="K163" s="827">
        <v>0.98</v>
      </c>
      <c r="L163" s="827">
        <v>0.98899999999999999</v>
      </c>
      <c r="M163" s="827">
        <v>0.98599999999999999</v>
      </c>
      <c r="N163" s="596">
        <v>0.99109999999999998</v>
      </c>
      <c r="O163" s="596">
        <v>0.98899999999999999</v>
      </c>
      <c r="P163" s="596">
        <v>0.9889</v>
      </c>
      <c r="Q163" s="596">
        <v>0.98899999999999999</v>
      </c>
      <c r="R163" s="596">
        <v>0.99370000000000003</v>
      </c>
      <c r="S163" s="596">
        <v>0.99109999999999998</v>
      </c>
    </row>
    <row r="164" spans="1:20" s="655" customFormat="1" ht="15.95" customHeight="1" x14ac:dyDescent="0.25">
      <c r="A164" s="654"/>
      <c r="B164" s="1060" t="s">
        <v>359</v>
      </c>
      <c r="C164" s="1061"/>
      <c r="D164" s="1061"/>
      <c r="E164" s="1061"/>
      <c r="F164" s="1061"/>
      <c r="G164" s="1061"/>
      <c r="H164" s="1061"/>
      <c r="I164" s="1061"/>
      <c r="J164" s="1061"/>
      <c r="K164" s="1061"/>
      <c r="L164" s="1061"/>
      <c r="M164" s="1061"/>
      <c r="N164" s="1061"/>
      <c r="O164" s="1061"/>
      <c r="P164" s="1061"/>
      <c r="Q164" s="1061"/>
      <c r="R164" s="1061"/>
      <c r="S164" s="1062"/>
    </row>
    <row r="165" spans="1:20" ht="15" customHeight="1" thickBot="1" x14ac:dyDescent="0.3">
      <c r="A165" s="516"/>
      <c r="B165" s="536" t="s">
        <v>360</v>
      </c>
      <c r="C165" s="909"/>
      <c r="D165" s="871"/>
      <c r="E165" s="686">
        <v>1078</v>
      </c>
      <c r="F165" s="697">
        <v>5168</v>
      </c>
      <c r="G165" s="529">
        <f>SUM(H165:S165)</f>
        <v>2699</v>
      </c>
      <c r="H165" s="511">
        <v>169</v>
      </c>
      <c r="I165" s="511">
        <v>217</v>
      </c>
      <c r="J165" s="511">
        <v>802</v>
      </c>
      <c r="K165" s="511">
        <v>114</v>
      </c>
      <c r="L165" s="511">
        <v>69</v>
      </c>
      <c r="M165" s="511">
        <v>139</v>
      </c>
      <c r="N165" s="512">
        <v>125</v>
      </c>
      <c r="O165" s="512">
        <v>275</v>
      </c>
      <c r="P165" s="512">
        <v>205</v>
      </c>
      <c r="Q165" s="512">
        <v>238</v>
      </c>
      <c r="R165" s="512">
        <v>115</v>
      </c>
      <c r="S165" s="512">
        <v>231</v>
      </c>
    </row>
    <row r="166" spans="1:20" ht="23.45" customHeight="1" x14ac:dyDescent="0.25">
      <c r="A166" s="516"/>
      <c r="B166" s="760" t="s">
        <v>361</v>
      </c>
      <c r="C166" s="905"/>
      <c r="D166" s="874"/>
      <c r="E166" s="686">
        <v>310</v>
      </c>
      <c r="F166" s="697">
        <v>3802</v>
      </c>
      <c r="G166" s="517">
        <f t="shared" ref="G166:G171" si="12">SUM(H166:S166)</f>
        <v>336</v>
      </c>
      <c r="H166" s="968">
        <v>11</v>
      </c>
      <c r="I166" s="968">
        <v>0</v>
      </c>
      <c r="J166" s="968">
        <v>20</v>
      </c>
      <c r="K166" s="968">
        <v>10</v>
      </c>
      <c r="L166" s="968">
        <v>0</v>
      </c>
      <c r="M166" s="968">
        <v>8</v>
      </c>
      <c r="N166" s="968">
        <v>10</v>
      </c>
      <c r="O166" s="968">
        <v>6</v>
      </c>
      <c r="P166" s="968">
        <v>29</v>
      </c>
      <c r="Q166" s="968">
        <v>114</v>
      </c>
      <c r="R166" s="968">
        <v>48</v>
      </c>
      <c r="S166" s="968">
        <v>80</v>
      </c>
    </row>
    <row r="167" spans="1:20" ht="23.45" hidden="1" customHeight="1" x14ac:dyDescent="0.25">
      <c r="A167" s="516"/>
      <c r="B167" s="760" t="s">
        <v>362</v>
      </c>
      <c r="C167" s="905"/>
      <c r="D167" s="874"/>
      <c r="E167" s="686">
        <v>0</v>
      </c>
      <c r="F167" s="697">
        <v>0</v>
      </c>
      <c r="G167" s="517">
        <f t="shared" si="12"/>
        <v>0</v>
      </c>
      <c r="H167" s="511"/>
      <c r="I167" s="520"/>
      <c r="J167" s="520"/>
      <c r="K167" s="520"/>
      <c r="L167" s="520"/>
      <c r="M167" s="520"/>
      <c r="N167" s="520"/>
      <c r="O167" s="520"/>
      <c r="P167" s="520"/>
      <c r="Q167" s="520"/>
      <c r="R167" s="520"/>
      <c r="S167" s="520"/>
    </row>
    <row r="168" spans="1:20" ht="23.45" customHeight="1" x14ac:dyDescent="0.25">
      <c r="A168" s="516"/>
      <c r="B168" s="760" t="s">
        <v>363</v>
      </c>
      <c r="C168" s="905"/>
      <c r="D168" s="874"/>
      <c r="E168" s="686">
        <v>43</v>
      </c>
      <c r="F168" s="697">
        <v>26</v>
      </c>
      <c r="G168" s="517">
        <f t="shared" si="12"/>
        <v>139</v>
      </c>
      <c r="H168" s="511">
        <v>9</v>
      </c>
      <c r="I168" s="520">
        <v>0</v>
      </c>
      <c r="J168" s="520">
        <v>9</v>
      </c>
      <c r="K168" s="520">
        <v>3</v>
      </c>
      <c r="L168" s="520">
        <v>0</v>
      </c>
      <c r="M168" s="520">
        <v>17</v>
      </c>
      <c r="N168" s="520">
        <v>23</v>
      </c>
      <c r="O168" s="520">
        <v>22</v>
      </c>
      <c r="P168" s="520">
        <v>20</v>
      </c>
      <c r="Q168" s="520">
        <v>5</v>
      </c>
      <c r="R168" s="520">
        <v>12</v>
      </c>
      <c r="S168" s="696">
        <v>19</v>
      </c>
    </row>
    <row r="169" spans="1:20" ht="23.45" customHeight="1" x14ac:dyDescent="0.25">
      <c r="A169" s="516"/>
      <c r="B169" s="760" t="s">
        <v>364</v>
      </c>
      <c r="C169" s="905"/>
      <c r="D169" s="874"/>
      <c r="E169" s="686">
        <v>220</v>
      </c>
      <c r="F169" s="697">
        <v>463</v>
      </c>
      <c r="G169" s="517">
        <f>SUM(H169:S169)</f>
        <v>817</v>
      </c>
      <c r="H169" s="519">
        <v>103</v>
      </c>
      <c r="I169" s="520">
        <v>46</v>
      </c>
      <c r="J169" s="520">
        <v>234</v>
      </c>
      <c r="K169" s="520">
        <v>19</v>
      </c>
      <c r="L169" s="520">
        <v>23</v>
      </c>
      <c r="M169" s="520">
        <v>39</v>
      </c>
      <c r="N169" s="807">
        <v>65</v>
      </c>
      <c r="O169" s="520">
        <v>89</v>
      </c>
      <c r="P169" s="520">
        <v>47</v>
      </c>
      <c r="Q169" s="520">
        <v>92</v>
      </c>
      <c r="R169" s="520">
        <v>11</v>
      </c>
      <c r="S169" s="520">
        <v>49</v>
      </c>
    </row>
    <row r="170" spans="1:20" ht="23.45" customHeight="1" x14ac:dyDescent="0.25">
      <c r="A170" s="516"/>
      <c r="B170" s="762" t="s">
        <v>365</v>
      </c>
      <c r="C170" s="910"/>
      <c r="D170" s="873"/>
      <c r="E170" s="686">
        <v>567</v>
      </c>
      <c r="F170" s="697">
        <v>807</v>
      </c>
      <c r="G170" s="517">
        <f t="shared" si="12"/>
        <v>1000</v>
      </c>
      <c r="H170" s="519">
        <v>110</v>
      </c>
      <c r="I170" s="520">
        <v>40</v>
      </c>
      <c r="J170" s="520">
        <v>210</v>
      </c>
      <c r="K170" s="520">
        <v>82</v>
      </c>
      <c r="L170" s="520">
        <v>40</v>
      </c>
      <c r="M170" s="520">
        <v>72</v>
      </c>
      <c r="N170" s="520">
        <v>27</v>
      </c>
      <c r="O170" s="520">
        <v>158</v>
      </c>
      <c r="P170" s="520">
        <v>109</v>
      </c>
      <c r="Q170" s="520">
        <v>27</v>
      </c>
      <c r="R170" s="520">
        <v>42</v>
      </c>
      <c r="S170" s="520">
        <v>83</v>
      </c>
    </row>
    <row r="171" spans="1:20" ht="23.45" customHeight="1" x14ac:dyDescent="0.25">
      <c r="A171" s="516"/>
      <c r="B171" s="761" t="s">
        <v>366</v>
      </c>
      <c r="C171" s="906"/>
      <c r="D171" s="872"/>
      <c r="E171" s="686">
        <v>2</v>
      </c>
      <c r="F171" s="697">
        <v>70</v>
      </c>
      <c r="G171" s="530">
        <f t="shared" si="12"/>
        <v>471</v>
      </c>
      <c r="H171" s="524">
        <v>0</v>
      </c>
      <c r="I171" s="525">
        <v>131</v>
      </c>
      <c r="J171" s="525">
        <v>329</v>
      </c>
      <c r="K171" s="525">
        <v>0</v>
      </c>
      <c r="L171" s="525">
        <v>6</v>
      </c>
      <c r="M171" s="525">
        <v>3</v>
      </c>
      <c r="N171" s="525">
        <v>0</v>
      </c>
      <c r="O171" s="525">
        <v>0</v>
      </c>
      <c r="P171" s="525">
        <v>0</v>
      </c>
      <c r="Q171" s="525">
        <v>0</v>
      </c>
      <c r="R171" s="525">
        <v>2</v>
      </c>
      <c r="S171" s="525">
        <v>0</v>
      </c>
    </row>
    <row r="172" spans="1:20" s="655" customFormat="1" ht="15.95" customHeight="1" x14ac:dyDescent="0.25">
      <c r="A172" s="654"/>
      <c r="B172" s="1041" t="s">
        <v>267</v>
      </c>
      <c r="C172" s="1042"/>
      <c r="D172" s="1042"/>
      <c r="E172" s="1042"/>
      <c r="F172" s="1042"/>
      <c r="G172" s="1042"/>
      <c r="H172" s="1042"/>
      <c r="I172" s="1042"/>
      <c r="J172" s="1042"/>
      <c r="K172" s="1042"/>
      <c r="L172" s="1042"/>
      <c r="M172" s="1042"/>
      <c r="N172" s="1042"/>
      <c r="O172" s="1042"/>
      <c r="P172" s="1042"/>
      <c r="Q172" s="1042"/>
      <c r="R172" s="1042"/>
      <c r="S172" s="1043"/>
    </row>
    <row r="173" spans="1:20" ht="15" customHeight="1" x14ac:dyDescent="0.25">
      <c r="A173" s="516"/>
      <c r="B173" s="536" t="s">
        <v>274</v>
      </c>
      <c r="E173" s="966">
        <v>17174062.27</v>
      </c>
      <c r="F173" s="923">
        <v>16799137.490000002</v>
      </c>
      <c r="G173" s="598">
        <f>SUM(H173:S173)</f>
        <v>15946063.390000001</v>
      </c>
      <c r="H173" s="545">
        <v>1324569.1100000001</v>
      </c>
      <c r="I173" s="962">
        <v>1365431.59</v>
      </c>
      <c r="J173" s="837">
        <v>1318846.78</v>
      </c>
      <c r="K173" s="963">
        <v>1290728.24</v>
      </c>
      <c r="L173" s="863">
        <v>1249267.04</v>
      </c>
      <c r="M173" s="512">
        <v>1313000.3700000001</v>
      </c>
      <c r="N173" s="850">
        <v>1157283.92</v>
      </c>
      <c r="O173" s="600">
        <v>1146536.53</v>
      </c>
      <c r="P173" s="600">
        <v>1630362.01</v>
      </c>
      <c r="Q173" s="601">
        <v>1442277.5</v>
      </c>
      <c r="R173" s="602">
        <v>1358046.48</v>
      </c>
      <c r="S173" s="603">
        <v>1349713.82</v>
      </c>
    </row>
    <row r="174" spans="1:20" s="655" customFormat="1" ht="15.95" customHeight="1" x14ac:dyDescent="0.25">
      <c r="A174" s="654"/>
      <c r="B174" s="1044" t="s">
        <v>268</v>
      </c>
      <c r="C174" s="1045"/>
      <c r="D174" s="1045"/>
      <c r="E174" s="1045"/>
      <c r="F174" s="1045"/>
      <c r="G174" s="1045"/>
      <c r="H174" s="1045"/>
      <c r="I174" s="1045"/>
      <c r="J174" s="1045"/>
      <c r="K174" s="1045"/>
      <c r="L174" s="1045"/>
      <c r="M174" s="1045"/>
      <c r="N174" s="1045"/>
      <c r="O174" s="1045"/>
      <c r="P174" s="1045"/>
      <c r="Q174" s="1045"/>
      <c r="R174" s="1045"/>
      <c r="S174" s="1046"/>
    </row>
    <row r="175" spans="1:20" ht="20.25" customHeight="1" x14ac:dyDescent="0.25">
      <c r="A175" s="516"/>
      <c r="B175" s="536" t="s">
        <v>367</v>
      </c>
      <c r="E175" s="712"/>
      <c r="F175" s="698"/>
      <c r="G175" s="506"/>
      <c r="H175" s="677">
        <v>119533</v>
      </c>
      <c r="I175" s="678">
        <v>119606</v>
      </c>
      <c r="J175" s="678">
        <v>122942</v>
      </c>
      <c r="K175" s="678">
        <v>123129</v>
      </c>
      <c r="L175" s="678">
        <v>123281</v>
      </c>
      <c r="M175" s="998">
        <v>123614</v>
      </c>
      <c r="N175" s="678">
        <v>123775</v>
      </c>
      <c r="O175" s="678">
        <v>123553</v>
      </c>
      <c r="P175" s="678">
        <v>123557</v>
      </c>
      <c r="Q175" s="678">
        <v>123547</v>
      </c>
      <c r="R175" s="679">
        <v>123597</v>
      </c>
      <c r="S175" s="518">
        <v>123826</v>
      </c>
    </row>
    <row r="176" spans="1:20" ht="23.25" customHeight="1" x14ac:dyDescent="0.2">
      <c r="A176" s="751"/>
      <c r="B176" s="752" t="s">
        <v>407</v>
      </c>
      <c r="C176" s="919"/>
      <c r="D176" s="882"/>
      <c r="E176" s="713"/>
      <c r="F176" s="699"/>
      <c r="G176" s="714"/>
      <c r="H176" s="826">
        <f>H175/T176</f>
        <v>0.36666901842654992</v>
      </c>
      <c r="I176" s="826">
        <f>I175/T176</f>
        <v>0.3668929468676092</v>
      </c>
      <c r="J176" s="826">
        <f>J175/T176</f>
        <v>0.3771261698727289</v>
      </c>
      <c r="K176" s="826">
        <f>K175/T176</f>
        <v>0.37769979478338755</v>
      </c>
      <c r="L176" s="826">
        <f>L175/T176</f>
        <v>0.37816605674285347</v>
      </c>
      <c r="M176" s="826">
        <f>M175/T176</f>
        <v>0.3791875385356307</v>
      </c>
      <c r="N176" s="826">
        <f>N175/T176</f>
        <v>0.37968140811111761</v>
      </c>
      <c r="O176" s="826">
        <f>O175/T176</f>
        <v>0.37900042024926611</v>
      </c>
      <c r="P176" s="826">
        <f>P175/T176</f>
        <v>0.37901269030083101</v>
      </c>
      <c r="Q176" s="826">
        <f>Q175/T176</f>
        <v>0.37898201517191876</v>
      </c>
      <c r="R176" s="826">
        <f>R175/T176</f>
        <v>0.3791353908164799</v>
      </c>
      <c r="S176" s="826">
        <f>S175/T176</f>
        <v>0.37983785126856995</v>
      </c>
      <c r="T176" s="951">
        <v>325997</v>
      </c>
    </row>
    <row r="178" spans="2:19" ht="15" hidden="1" customHeight="1" x14ac:dyDescent="0.25">
      <c r="B178" s="604" t="s">
        <v>200</v>
      </c>
      <c r="C178" s="605"/>
      <c r="D178" s="883"/>
      <c r="E178" s="605"/>
      <c r="F178" s="605"/>
      <c r="G178" s="605"/>
      <c r="H178" s="605"/>
      <c r="I178" s="605"/>
      <c r="J178" s="605"/>
      <c r="K178" s="605"/>
      <c r="L178" s="605"/>
      <c r="M178" s="986"/>
      <c r="N178" s="605"/>
      <c r="O178" s="605"/>
      <c r="P178" s="605"/>
      <c r="Q178" s="605"/>
      <c r="R178" s="605"/>
      <c r="S178" s="606"/>
    </row>
    <row r="179" spans="2:19" hidden="1" x14ac:dyDescent="0.25">
      <c r="B179" s="753" t="s">
        <v>174</v>
      </c>
      <c r="C179" s="754"/>
      <c r="D179" s="884"/>
      <c r="E179" s="754"/>
      <c r="F179" s="754"/>
      <c r="G179" s="754"/>
      <c r="H179" s="754"/>
      <c r="I179" s="754"/>
      <c r="J179" s="754"/>
      <c r="K179" s="754"/>
      <c r="L179" s="754"/>
      <c r="M179" s="987"/>
      <c r="N179" s="754"/>
      <c r="O179" s="754"/>
      <c r="P179" s="754"/>
      <c r="Q179" s="754"/>
      <c r="R179" s="754"/>
      <c r="S179" s="755"/>
    </row>
    <row r="180" spans="2:19" ht="15" hidden="1" customHeight="1" x14ac:dyDescent="0.25">
      <c r="B180" s="756" t="s">
        <v>181</v>
      </c>
      <c r="C180" s="920"/>
      <c r="D180" s="885"/>
      <c r="E180" s="757"/>
      <c r="F180" s="757"/>
      <c r="G180" s="757"/>
      <c r="H180" s="757"/>
      <c r="I180" s="757"/>
      <c r="J180" s="757"/>
      <c r="K180" s="757"/>
      <c r="L180" s="757"/>
      <c r="M180" s="988"/>
      <c r="N180" s="757"/>
      <c r="O180" s="757"/>
      <c r="P180" s="757"/>
      <c r="Q180" s="757"/>
      <c r="R180" s="757"/>
      <c r="S180" s="758"/>
    </row>
    <row r="181" spans="2:19" ht="15" hidden="1" customHeight="1" x14ac:dyDescent="0.25">
      <c r="B181" s="509" t="s">
        <v>4</v>
      </c>
      <c r="C181" s="750"/>
      <c r="E181" s="607"/>
      <c r="F181" s="608" t="s">
        <v>214</v>
      </c>
      <c r="G181" s="609" t="e">
        <f>AVERAGE(H181:S181)</f>
        <v>#DIV/0!</v>
      </c>
      <c r="H181" s="511"/>
      <c r="I181" s="512"/>
      <c r="J181" s="512"/>
      <c r="K181" s="512"/>
      <c r="L181" s="512"/>
      <c r="M181" s="850"/>
      <c r="N181" s="512"/>
      <c r="O181" s="610"/>
      <c r="P181" s="610"/>
      <c r="Q181" s="610"/>
      <c r="R181" s="610"/>
      <c r="S181" s="611"/>
    </row>
    <row r="182" spans="2:19" ht="15" hidden="1" customHeight="1" x14ac:dyDescent="0.25">
      <c r="B182" s="522" t="s">
        <v>177</v>
      </c>
      <c r="C182" s="750"/>
      <c r="E182" s="607"/>
      <c r="F182" s="612" t="s">
        <v>215</v>
      </c>
      <c r="G182" s="613" t="e">
        <f>AVERAGE(H182:S182)</f>
        <v>#DIV/0!</v>
      </c>
      <c r="H182" s="614"/>
      <c r="I182" s="614"/>
      <c r="J182" s="614"/>
      <c r="K182" s="614"/>
      <c r="L182" s="614"/>
      <c r="M182" s="989"/>
      <c r="N182" s="614"/>
      <c r="O182" s="615"/>
      <c r="P182" s="615"/>
      <c r="Q182" s="615"/>
      <c r="R182" s="615"/>
      <c r="S182" s="616"/>
    </row>
    <row r="183" spans="2:19" ht="15" hidden="1" customHeight="1" x14ac:dyDescent="0.25">
      <c r="B183" s="522" t="s">
        <v>180</v>
      </c>
      <c r="C183" s="750"/>
      <c r="E183" s="607"/>
      <c r="F183" s="612" t="s">
        <v>216</v>
      </c>
      <c r="G183" s="613" t="e">
        <f>((ROUND(G181/G182,0)&amp;" : "&amp;"1"))</f>
        <v>#DIV/0!</v>
      </c>
      <c r="H183" s="614" t="e">
        <f>((ROUND(H181/H182,0)&amp;" : "&amp;"1"))</f>
        <v>#DIV/0!</v>
      </c>
      <c r="I183" s="614" t="e">
        <f t="shared" ref="I183:S183" si="13">((ROUND(I181/I182,0)&amp;" : "&amp;"1"))</f>
        <v>#DIV/0!</v>
      </c>
      <c r="J183" s="614" t="e">
        <f t="shared" si="13"/>
        <v>#DIV/0!</v>
      </c>
      <c r="K183" s="614" t="e">
        <f t="shared" si="13"/>
        <v>#DIV/0!</v>
      </c>
      <c r="L183" s="614" t="e">
        <f t="shared" si="13"/>
        <v>#DIV/0!</v>
      </c>
      <c r="M183" s="989" t="e">
        <f t="shared" si="13"/>
        <v>#DIV/0!</v>
      </c>
      <c r="N183" s="614" t="e">
        <f t="shared" si="13"/>
        <v>#DIV/0!</v>
      </c>
      <c r="O183" s="614" t="e">
        <f t="shared" si="13"/>
        <v>#DIV/0!</v>
      </c>
      <c r="P183" s="614" t="e">
        <f t="shared" si="13"/>
        <v>#DIV/0!</v>
      </c>
      <c r="Q183" s="614" t="e">
        <f t="shared" si="13"/>
        <v>#DIV/0!</v>
      </c>
      <c r="R183" s="614" t="e">
        <f t="shared" si="13"/>
        <v>#DIV/0!</v>
      </c>
      <c r="S183" s="616" t="e">
        <f t="shared" si="13"/>
        <v>#DIV/0!</v>
      </c>
    </row>
    <row r="184" spans="2:19" ht="15" hidden="1" customHeight="1" x14ac:dyDescent="0.25">
      <c r="B184" s="514" t="s">
        <v>179</v>
      </c>
      <c r="C184" s="750"/>
      <c r="E184" s="607"/>
      <c r="F184" s="617" t="s">
        <v>184</v>
      </c>
      <c r="G184" s="618" t="s">
        <v>184</v>
      </c>
      <c r="H184" s="619" t="s">
        <v>184</v>
      </c>
      <c r="I184" s="619" t="s">
        <v>184</v>
      </c>
      <c r="J184" s="619" t="s">
        <v>184</v>
      </c>
      <c r="K184" s="619" t="s">
        <v>184</v>
      </c>
      <c r="L184" s="619" t="s">
        <v>184</v>
      </c>
      <c r="M184" s="990" t="s">
        <v>184</v>
      </c>
      <c r="N184" s="619" t="s">
        <v>184</v>
      </c>
      <c r="O184" s="619" t="s">
        <v>184</v>
      </c>
      <c r="P184" s="619" t="s">
        <v>184</v>
      </c>
      <c r="Q184" s="619" t="s">
        <v>184</v>
      </c>
      <c r="R184" s="619" t="s">
        <v>184</v>
      </c>
      <c r="S184" s="620" t="s">
        <v>184</v>
      </c>
    </row>
    <row r="185" spans="2:19" ht="15" hidden="1" customHeight="1" x14ac:dyDescent="0.25">
      <c r="B185" s="756" t="s">
        <v>191</v>
      </c>
      <c r="C185" s="920"/>
      <c r="D185" s="885"/>
      <c r="E185" s="621"/>
      <c r="F185" s="622"/>
      <c r="G185" s="622"/>
      <c r="H185" s="622"/>
      <c r="I185" s="622"/>
      <c r="J185" s="622"/>
      <c r="K185" s="622"/>
      <c r="L185" s="622"/>
      <c r="M185" s="991"/>
      <c r="N185" s="622"/>
      <c r="O185" s="622"/>
      <c r="P185" s="622"/>
      <c r="Q185" s="622"/>
      <c r="R185" s="622"/>
      <c r="S185" s="623"/>
    </row>
    <row r="186" spans="2:19" ht="15" hidden="1" customHeight="1" x14ac:dyDescent="0.25">
      <c r="B186" s="509" t="s">
        <v>178</v>
      </c>
      <c r="C186" s="750"/>
      <c r="E186" s="607"/>
      <c r="F186" s="608" t="s">
        <v>217</v>
      </c>
      <c r="G186" s="624" t="e">
        <f>AVERAGE(H186:S186)</f>
        <v>#DIV/0!</v>
      </c>
      <c r="H186" s="625"/>
      <c r="I186" s="625"/>
      <c r="J186" s="625"/>
      <c r="K186" s="625"/>
      <c r="L186" s="625"/>
      <c r="M186" s="992"/>
      <c r="N186" s="625"/>
      <c r="O186" s="625"/>
      <c r="P186" s="625"/>
      <c r="Q186" s="610"/>
      <c r="R186" s="610"/>
      <c r="S186" s="611"/>
    </row>
    <row r="187" spans="2:19" ht="15" hidden="1" customHeight="1" x14ac:dyDescent="0.25">
      <c r="B187" s="522" t="s">
        <v>177</v>
      </c>
      <c r="C187" s="750"/>
      <c r="E187" s="607"/>
      <c r="F187" s="612" t="s">
        <v>218</v>
      </c>
      <c r="G187" s="626" t="e">
        <f>AVERAGE(H187:S187)</f>
        <v>#DIV/0!</v>
      </c>
      <c r="H187" s="627"/>
      <c r="I187" s="627"/>
      <c r="J187" s="627"/>
      <c r="K187" s="627"/>
      <c r="L187" s="627"/>
      <c r="M187" s="993"/>
      <c r="N187" s="627"/>
      <c r="O187" s="627"/>
      <c r="P187" s="627"/>
      <c r="Q187" s="615"/>
      <c r="R187" s="615"/>
      <c r="S187" s="616"/>
    </row>
    <row r="188" spans="2:19" ht="15" hidden="1" customHeight="1" x14ac:dyDescent="0.25">
      <c r="B188" s="522" t="s">
        <v>180</v>
      </c>
      <c r="C188" s="750"/>
      <c r="E188" s="607"/>
      <c r="F188" s="612" t="s">
        <v>219</v>
      </c>
      <c r="G188" s="626" t="e">
        <f>((ROUND(G186/G187,0)&amp;" : "&amp;"1"))</f>
        <v>#DIV/0!</v>
      </c>
      <c r="H188" s="627" t="s">
        <v>136</v>
      </c>
      <c r="I188" s="627" t="s">
        <v>136</v>
      </c>
      <c r="J188" s="615" t="e">
        <f t="shared" ref="J188:S188" si="14">((ROUND(J186/J187,0)&amp;" : "&amp;"1"))</f>
        <v>#DIV/0!</v>
      </c>
      <c r="K188" s="615" t="e">
        <f t="shared" si="14"/>
        <v>#DIV/0!</v>
      </c>
      <c r="L188" s="615" t="e">
        <f t="shared" si="14"/>
        <v>#DIV/0!</v>
      </c>
      <c r="M188" s="975" t="e">
        <f t="shared" si="14"/>
        <v>#DIV/0!</v>
      </c>
      <c r="N188" s="615" t="e">
        <f t="shared" si="14"/>
        <v>#DIV/0!</v>
      </c>
      <c r="O188" s="615" t="e">
        <f t="shared" si="14"/>
        <v>#DIV/0!</v>
      </c>
      <c r="P188" s="615" t="e">
        <f t="shared" si="14"/>
        <v>#DIV/0!</v>
      </c>
      <c r="Q188" s="615" t="e">
        <f t="shared" si="14"/>
        <v>#DIV/0!</v>
      </c>
      <c r="R188" s="615" t="e">
        <f t="shared" si="14"/>
        <v>#DIV/0!</v>
      </c>
      <c r="S188" s="616" t="e">
        <f t="shared" si="14"/>
        <v>#DIV/0!</v>
      </c>
    </row>
    <row r="189" spans="2:19" ht="15" hidden="1" customHeight="1" x14ac:dyDescent="0.25">
      <c r="B189" s="514" t="s">
        <v>179</v>
      </c>
      <c r="C189" s="750"/>
      <c r="E189" s="607"/>
      <c r="F189" s="617" t="s">
        <v>185</v>
      </c>
      <c r="G189" s="618" t="s">
        <v>185</v>
      </c>
      <c r="H189" s="619" t="s">
        <v>185</v>
      </c>
      <c r="I189" s="619" t="s">
        <v>185</v>
      </c>
      <c r="J189" s="628" t="s">
        <v>185</v>
      </c>
      <c r="K189" s="628" t="s">
        <v>185</v>
      </c>
      <c r="L189" s="628" t="s">
        <v>185</v>
      </c>
      <c r="M189" s="551" t="s">
        <v>185</v>
      </c>
      <c r="N189" s="628" t="s">
        <v>185</v>
      </c>
      <c r="O189" s="628" t="s">
        <v>185</v>
      </c>
      <c r="P189" s="628" t="s">
        <v>185</v>
      </c>
      <c r="Q189" s="628" t="s">
        <v>185</v>
      </c>
      <c r="R189" s="628" t="s">
        <v>185</v>
      </c>
      <c r="S189" s="620" t="s">
        <v>185</v>
      </c>
    </row>
    <row r="190" spans="2:19" ht="15" hidden="1" customHeight="1" x14ac:dyDescent="0.25">
      <c r="B190" s="756" t="s">
        <v>182</v>
      </c>
      <c r="C190" s="920"/>
      <c r="D190" s="885"/>
      <c r="E190" s="621"/>
      <c r="F190" s="622"/>
      <c r="G190" s="622"/>
      <c r="H190" s="622"/>
      <c r="I190" s="622"/>
      <c r="J190" s="622"/>
      <c r="K190" s="622"/>
      <c r="L190" s="622"/>
      <c r="M190" s="991"/>
      <c r="N190" s="622"/>
      <c r="O190" s="622"/>
      <c r="P190" s="622"/>
      <c r="Q190" s="622"/>
      <c r="R190" s="622"/>
      <c r="S190" s="623"/>
    </row>
    <row r="191" spans="2:19" ht="15" hidden="1" customHeight="1" x14ac:dyDescent="0.25">
      <c r="B191" s="509" t="s">
        <v>178</v>
      </c>
      <c r="C191" s="750"/>
      <c r="E191" s="607"/>
      <c r="F191" s="608" t="s">
        <v>220</v>
      </c>
      <c r="G191" s="609" t="e">
        <f>AVERAGE(H191:S191)</f>
        <v>#DIV/0!</v>
      </c>
      <c r="H191" s="629"/>
      <c r="I191" s="512"/>
      <c r="J191" s="512"/>
      <c r="K191" s="512"/>
      <c r="L191" s="512"/>
      <c r="M191" s="850"/>
      <c r="N191" s="512"/>
      <c r="O191" s="610"/>
      <c r="P191" s="610"/>
      <c r="Q191" s="610"/>
      <c r="R191" s="610"/>
      <c r="S191" s="611"/>
    </row>
    <row r="192" spans="2:19" ht="15" hidden="1" customHeight="1" x14ac:dyDescent="0.25">
      <c r="B192" s="522" t="s">
        <v>177</v>
      </c>
      <c r="C192" s="750"/>
      <c r="E192" s="607"/>
      <c r="F192" s="612" t="s">
        <v>221</v>
      </c>
      <c r="G192" s="613" t="e">
        <f>AVERAGE(H192:S192)</f>
        <v>#DIV/0!</v>
      </c>
      <c r="H192" s="630"/>
      <c r="I192" s="520"/>
      <c r="J192" s="615"/>
      <c r="K192" s="520"/>
      <c r="L192" s="520"/>
      <c r="M192" s="975"/>
      <c r="N192" s="520"/>
      <c r="O192" s="615"/>
      <c r="P192" s="615"/>
      <c r="Q192" s="615"/>
      <c r="R192" s="615"/>
      <c r="S192" s="616"/>
    </row>
    <row r="193" spans="2:19" ht="15" hidden="1" customHeight="1" x14ac:dyDescent="0.25">
      <c r="B193" s="522" t="s">
        <v>180</v>
      </c>
      <c r="C193" s="750"/>
      <c r="E193" s="607"/>
      <c r="F193" s="612" t="s">
        <v>222</v>
      </c>
      <c r="G193" s="613" t="e">
        <f>((ROUND(G191/G192,0)&amp;" : "&amp;"1"))</f>
        <v>#DIV/0!</v>
      </c>
      <c r="H193" s="614" t="e">
        <f>((ROUND(H191/H192,0)&amp;" : "&amp;"1"))</f>
        <v>#DIV/0!</v>
      </c>
      <c r="I193" s="614" t="e">
        <f t="shared" ref="I193:O193" si="15">((ROUND(I191/I192,0)&amp;" : "&amp;"1"))</f>
        <v>#DIV/0!</v>
      </c>
      <c r="J193" s="614" t="e">
        <f t="shared" si="15"/>
        <v>#DIV/0!</v>
      </c>
      <c r="K193" s="614" t="e">
        <f t="shared" si="15"/>
        <v>#DIV/0!</v>
      </c>
      <c r="L193" s="614" t="e">
        <f t="shared" si="15"/>
        <v>#DIV/0!</v>
      </c>
      <c r="M193" s="989" t="e">
        <f t="shared" si="15"/>
        <v>#DIV/0!</v>
      </c>
      <c r="N193" s="614" t="e">
        <f t="shared" si="15"/>
        <v>#DIV/0!</v>
      </c>
      <c r="O193" s="614" t="e">
        <f t="shared" si="15"/>
        <v>#DIV/0!</v>
      </c>
      <c r="P193" s="614" t="e">
        <f>((ROUND(P191/P192,0)&amp;" : "&amp;"1"))</f>
        <v>#DIV/0!</v>
      </c>
      <c r="Q193" s="614" t="e">
        <f>((ROUND(Q191/Q192,0)&amp;" : "&amp;"1"))</f>
        <v>#DIV/0!</v>
      </c>
      <c r="R193" s="614" t="e">
        <f>((ROUND(R191/R192,0)&amp;" : "&amp;"1"))</f>
        <v>#DIV/0!</v>
      </c>
      <c r="S193" s="631" t="e">
        <f>((ROUND(S191/S192,0)&amp;" : "&amp;"1"))</f>
        <v>#DIV/0!</v>
      </c>
    </row>
    <row r="194" spans="2:19" ht="15" hidden="1" customHeight="1" x14ac:dyDescent="0.25">
      <c r="B194" s="514" t="s">
        <v>179</v>
      </c>
      <c r="C194" s="750"/>
      <c r="E194" s="607"/>
      <c r="F194" s="617" t="s">
        <v>185</v>
      </c>
      <c r="G194" s="618" t="s">
        <v>185</v>
      </c>
      <c r="H194" s="619" t="s">
        <v>185</v>
      </c>
      <c r="I194" s="619" t="s">
        <v>185</v>
      </c>
      <c r="J194" s="619" t="s">
        <v>185</v>
      </c>
      <c r="K194" s="619" t="s">
        <v>185</v>
      </c>
      <c r="L194" s="619" t="s">
        <v>185</v>
      </c>
      <c r="M194" s="990" t="s">
        <v>185</v>
      </c>
      <c r="N194" s="619" t="s">
        <v>185</v>
      </c>
      <c r="O194" s="619" t="s">
        <v>185</v>
      </c>
      <c r="P194" s="619" t="s">
        <v>185</v>
      </c>
      <c r="Q194" s="619" t="s">
        <v>185</v>
      </c>
      <c r="R194" s="619" t="s">
        <v>185</v>
      </c>
      <c r="S194" s="632" t="s">
        <v>185</v>
      </c>
    </row>
    <row r="195" spans="2:19" hidden="1" x14ac:dyDescent="0.25">
      <c r="B195" s="753" t="s">
        <v>183</v>
      </c>
      <c r="C195" s="754"/>
      <c r="D195" s="884"/>
      <c r="E195" s="633"/>
      <c r="F195" s="634"/>
      <c r="G195" s="634"/>
      <c r="H195" s="634"/>
      <c r="I195" s="634"/>
      <c r="J195" s="634"/>
      <c r="K195" s="634"/>
      <c r="L195" s="634"/>
      <c r="M195" s="994"/>
      <c r="N195" s="634"/>
      <c r="O195" s="634"/>
      <c r="P195" s="634"/>
      <c r="Q195" s="634"/>
      <c r="R195" s="634"/>
      <c r="S195" s="635"/>
    </row>
    <row r="196" spans="2:19" ht="15" hidden="1" customHeight="1" x14ac:dyDescent="0.25">
      <c r="B196" s="756" t="s">
        <v>175</v>
      </c>
      <c r="C196" s="920"/>
      <c r="D196" s="885"/>
      <c r="E196" s="621"/>
      <c r="F196" s="622"/>
      <c r="G196" s="622"/>
      <c r="H196" s="622"/>
      <c r="I196" s="622"/>
      <c r="J196" s="622"/>
      <c r="K196" s="622"/>
      <c r="L196" s="622"/>
      <c r="M196" s="991"/>
      <c r="N196" s="622"/>
      <c r="O196" s="622"/>
      <c r="P196" s="622"/>
      <c r="Q196" s="622"/>
      <c r="R196" s="622"/>
      <c r="S196" s="623"/>
    </row>
    <row r="197" spans="2:19" ht="15" hidden="1" customHeight="1" x14ac:dyDescent="0.25">
      <c r="B197" s="509" t="s">
        <v>178</v>
      </c>
      <c r="C197" s="750"/>
      <c r="E197" s="607"/>
      <c r="F197" s="608" t="s">
        <v>223</v>
      </c>
      <c r="G197" s="609" t="e">
        <f>AVERAGE(H197:S197)</f>
        <v>#DIV/0!</v>
      </c>
      <c r="H197" s="629"/>
      <c r="I197" s="512"/>
      <c r="J197" s="512"/>
      <c r="K197" s="512"/>
      <c r="L197" s="512"/>
      <c r="M197" s="850"/>
      <c r="N197" s="512"/>
      <c r="O197" s="610"/>
      <c r="P197" s="610"/>
      <c r="Q197" s="610"/>
      <c r="R197" s="610"/>
      <c r="S197" s="611"/>
    </row>
    <row r="198" spans="2:19" ht="15" hidden="1" customHeight="1" x14ac:dyDescent="0.25">
      <c r="B198" s="522" t="s">
        <v>177</v>
      </c>
      <c r="C198" s="750"/>
      <c r="E198" s="607"/>
      <c r="F198" s="612" t="s">
        <v>224</v>
      </c>
      <c r="G198" s="613" t="e">
        <f>AVERAGE(H198:S198)</f>
        <v>#DIV/0!</v>
      </c>
      <c r="H198" s="614"/>
      <c r="I198" s="615"/>
      <c r="J198" s="615"/>
      <c r="K198" s="615"/>
      <c r="L198" s="615"/>
      <c r="M198" s="975"/>
      <c r="N198" s="615"/>
      <c r="O198" s="615"/>
      <c r="P198" s="615"/>
      <c r="Q198" s="615"/>
      <c r="R198" s="615"/>
      <c r="S198" s="616"/>
    </row>
    <row r="199" spans="2:19" ht="15" hidden="1" customHeight="1" x14ac:dyDescent="0.25">
      <c r="B199" s="522" t="s">
        <v>180</v>
      </c>
      <c r="C199" s="750"/>
      <c r="E199" s="607"/>
      <c r="F199" s="612" t="s">
        <v>225</v>
      </c>
      <c r="G199" s="613" t="e">
        <f>((ROUND(G197/G198,0)&amp;" : "&amp;"1"))</f>
        <v>#DIV/0!</v>
      </c>
      <c r="H199" s="614" t="e">
        <f>((ROUND(H197/H198,0)&amp;" : "&amp;"1"))</f>
        <v>#DIV/0!</v>
      </c>
      <c r="I199" s="614" t="e">
        <f t="shared" ref="I199:S199" si="16">((ROUND(I197/I198,0)&amp;" : "&amp;"1"))</f>
        <v>#DIV/0!</v>
      </c>
      <c r="J199" s="614" t="e">
        <f t="shared" si="16"/>
        <v>#DIV/0!</v>
      </c>
      <c r="K199" s="614" t="e">
        <f t="shared" si="16"/>
        <v>#DIV/0!</v>
      </c>
      <c r="L199" s="614" t="e">
        <f t="shared" si="16"/>
        <v>#DIV/0!</v>
      </c>
      <c r="M199" s="989" t="e">
        <f t="shared" si="16"/>
        <v>#DIV/0!</v>
      </c>
      <c r="N199" s="614" t="e">
        <f t="shared" si="16"/>
        <v>#DIV/0!</v>
      </c>
      <c r="O199" s="614" t="e">
        <f t="shared" si="16"/>
        <v>#DIV/0!</v>
      </c>
      <c r="P199" s="614" t="e">
        <f t="shared" si="16"/>
        <v>#DIV/0!</v>
      </c>
      <c r="Q199" s="614" t="e">
        <f t="shared" si="16"/>
        <v>#DIV/0!</v>
      </c>
      <c r="R199" s="614" t="e">
        <f t="shared" si="16"/>
        <v>#DIV/0!</v>
      </c>
      <c r="S199" s="631" t="e">
        <f t="shared" si="16"/>
        <v>#DIV/0!</v>
      </c>
    </row>
    <row r="200" spans="2:19" ht="15" hidden="1" customHeight="1" x14ac:dyDescent="0.25">
      <c r="B200" s="514" t="s">
        <v>179</v>
      </c>
      <c r="C200" s="750"/>
      <c r="E200" s="607"/>
      <c r="F200" s="617" t="s">
        <v>186</v>
      </c>
      <c r="G200" s="618" t="s">
        <v>186</v>
      </c>
      <c r="H200" s="619" t="s">
        <v>186</v>
      </c>
      <c r="I200" s="619" t="s">
        <v>186</v>
      </c>
      <c r="J200" s="619" t="s">
        <v>186</v>
      </c>
      <c r="K200" s="619" t="s">
        <v>186</v>
      </c>
      <c r="L200" s="619" t="s">
        <v>186</v>
      </c>
      <c r="M200" s="990" t="s">
        <v>186</v>
      </c>
      <c r="N200" s="619" t="s">
        <v>186</v>
      </c>
      <c r="O200" s="619" t="s">
        <v>186</v>
      </c>
      <c r="P200" s="619" t="s">
        <v>186</v>
      </c>
      <c r="Q200" s="619" t="s">
        <v>186</v>
      </c>
      <c r="R200" s="619" t="s">
        <v>186</v>
      </c>
      <c r="S200" s="632" t="s">
        <v>186</v>
      </c>
    </row>
    <row r="201" spans="2:19" ht="15" hidden="1" customHeight="1" x14ac:dyDescent="0.25">
      <c r="B201" s="756" t="s">
        <v>176</v>
      </c>
      <c r="C201" s="920"/>
      <c r="D201" s="885"/>
      <c r="E201" s="621"/>
      <c r="F201" s="622"/>
      <c r="G201" s="622"/>
      <c r="H201" s="622"/>
      <c r="I201" s="622"/>
      <c r="J201" s="622"/>
      <c r="K201" s="622"/>
      <c r="L201" s="622"/>
      <c r="M201" s="991"/>
      <c r="N201" s="622"/>
      <c r="O201" s="622"/>
      <c r="P201" s="622"/>
      <c r="Q201" s="622"/>
      <c r="R201" s="622"/>
      <c r="S201" s="623"/>
    </row>
    <row r="202" spans="2:19" ht="15" hidden="1" customHeight="1" x14ac:dyDescent="0.25">
      <c r="B202" s="509" t="s">
        <v>178</v>
      </c>
      <c r="C202" s="750"/>
      <c r="E202" s="607"/>
      <c r="F202" s="608" t="s">
        <v>226</v>
      </c>
      <c r="G202" s="609" t="e">
        <f>AVERAGE(H202:S202)</f>
        <v>#DIV/0!</v>
      </c>
      <c r="H202" s="636"/>
      <c r="I202" s="610"/>
      <c r="J202" s="610"/>
      <c r="K202" s="610"/>
      <c r="L202" s="610"/>
      <c r="M202" s="850"/>
      <c r="N202" s="610"/>
      <c r="O202" s="610"/>
      <c r="P202" s="610"/>
      <c r="Q202" s="610"/>
      <c r="R202" s="610"/>
      <c r="S202" s="611"/>
    </row>
    <row r="203" spans="2:19" ht="15" hidden="1" customHeight="1" x14ac:dyDescent="0.25">
      <c r="B203" s="522" t="s">
        <v>177</v>
      </c>
      <c r="C203" s="750"/>
      <c r="E203" s="607"/>
      <c r="F203" s="612" t="s">
        <v>227</v>
      </c>
      <c r="G203" s="613" t="e">
        <f>AVERAGE(H203:S203)</f>
        <v>#DIV/0!</v>
      </c>
      <c r="H203" s="614"/>
      <c r="I203" s="615"/>
      <c r="J203" s="615"/>
      <c r="K203" s="615"/>
      <c r="L203" s="615"/>
      <c r="M203" s="975"/>
      <c r="N203" s="615"/>
      <c r="O203" s="615"/>
      <c r="P203" s="615"/>
      <c r="Q203" s="615"/>
      <c r="R203" s="615"/>
      <c r="S203" s="616"/>
    </row>
    <row r="204" spans="2:19" ht="15" hidden="1" customHeight="1" x14ac:dyDescent="0.25">
      <c r="B204" s="522" t="s">
        <v>180</v>
      </c>
      <c r="C204" s="750"/>
      <c r="E204" s="607"/>
      <c r="F204" s="612" t="s">
        <v>222</v>
      </c>
      <c r="G204" s="613" t="e">
        <f>((ROUND(G202/G203,0)&amp;" : "&amp;"1"))</f>
        <v>#DIV/0!</v>
      </c>
      <c r="H204" s="614" t="e">
        <f>((ROUND(H202/H203,0)&amp;" : "&amp;"1"))</f>
        <v>#DIV/0!</v>
      </c>
      <c r="I204" s="614" t="e">
        <f t="shared" ref="I204:S204" si="17">((ROUND(I202/I203,0)&amp;" : "&amp;"1"))</f>
        <v>#DIV/0!</v>
      </c>
      <c r="J204" s="614" t="e">
        <f t="shared" si="17"/>
        <v>#DIV/0!</v>
      </c>
      <c r="K204" s="614" t="e">
        <f t="shared" si="17"/>
        <v>#DIV/0!</v>
      </c>
      <c r="L204" s="614" t="e">
        <f t="shared" si="17"/>
        <v>#DIV/0!</v>
      </c>
      <c r="M204" s="989" t="e">
        <f t="shared" si="17"/>
        <v>#DIV/0!</v>
      </c>
      <c r="N204" s="614" t="e">
        <f t="shared" si="17"/>
        <v>#DIV/0!</v>
      </c>
      <c r="O204" s="614" t="e">
        <f t="shared" si="17"/>
        <v>#DIV/0!</v>
      </c>
      <c r="P204" s="614" t="e">
        <f t="shared" si="17"/>
        <v>#DIV/0!</v>
      </c>
      <c r="Q204" s="614" t="e">
        <f t="shared" si="17"/>
        <v>#DIV/0!</v>
      </c>
      <c r="R204" s="614" t="e">
        <f t="shared" si="17"/>
        <v>#DIV/0!</v>
      </c>
      <c r="S204" s="631" t="e">
        <f t="shared" si="17"/>
        <v>#DIV/0!</v>
      </c>
    </row>
    <row r="205" spans="2:19" ht="15" hidden="1" customHeight="1" x14ac:dyDescent="0.25">
      <c r="B205" s="759" t="s">
        <v>179</v>
      </c>
      <c r="C205" s="914"/>
      <c r="D205" s="880"/>
      <c r="E205" s="637"/>
      <c r="F205" s="638" t="s">
        <v>186</v>
      </c>
      <c r="G205" s="639" t="s">
        <v>186</v>
      </c>
      <c r="H205" s="640" t="s">
        <v>186</v>
      </c>
      <c r="I205" s="640" t="s">
        <v>186</v>
      </c>
      <c r="J205" s="640" t="s">
        <v>186</v>
      </c>
      <c r="K205" s="640" t="s">
        <v>186</v>
      </c>
      <c r="L205" s="640" t="s">
        <v>186</v>
      </c>
      <c r="M205" s="995" t="s">
        <v>186</v>
      </c>
      <c r="N205" s="640" t="s">
        <v>186</v>
      </c>
      <c r="O205" s="640" t="s">
        <v>186</v>
      </c>
      <c r="P205" s="640" t="s">
        <v>186</v>
      </c>
      <c r="Q205" s="640" t="s">
        <v>186</v>
      </c>
      <c r="R205" s="640" t="s">
        <v>186</v>
      </c>
      <c r="S205" s="641" t="s">
        <v>186</v>
      </c>
    </row>
    <row r="206" spans="2:19" hidden="1" x14ac:dyDescent="0.25">
      <c r="B206" s="753" t="s">
        <v>43</v>
      </c>
      <c r="C206" s="754"/>
      <c r="D206" s="884"/>
      <c r="E206" s="633"/>
      <c r="F206" s="634"/>
      <c r="G206" s="633"/>
      <c r="H206" s="633"/>
      <c r="I206" s="633"/>
      <c r="J206" s="633"/>
      <c r="K206" s="633"/>
      <c r="L206" s="633"/>
      <c r="M206" s="996"/>
      <c r="N206" s="633"/>
      <c r="O206" s="633"/>
      <c r="P206" s="633"/>
      <c r="Q206" s="633"/>
      <c r="R206" s="633"/>
      <c r="S206" s="642"/>
    </row>
    <row r="207" spans="2:19" ht="15" hidden="1" customHeight="1" x14ac:dyDescent="0.25">
      <c r="B207" s="756" t="s">
        <v>44</v>
      </c>
      <c r="C207" s="920"/>
      <c r="D207" s="885"/>
      <c r="E207" s="621"/>
      <c r="F207" s="622"/>
      <c r="G207" s="621"/>
      <c r="H207" s="621"/>
      <c r="I207" s="621"/>
      <c r="J207" s="621"/>
      <c r="K207" s="621"/>
      <c r="L207" s="621"/>
      <c r="M207" s="997"/>
      <c r="N207" s="621"/>
      <c r="O207" s="621"/>
      <c r="P207" s="621"/>
      <c r="Q207" s="621"/>
      <c r="R207" s="621"/>
      <c r="S207" s="643"/>
    </row>
    <row r="208" spans="2:19" ht="15" hidden="1" customHeight="1" x14ac:dyDescent="0.25">
      <c r="B208" s="509" t="s">
        <v>178</v>
      </c>
      <c r="C208" s="750"/>
      <c r="E208" s="607"/>
      <c r="F208" s="608" t="s">
        <v>228</v>
      </c>
      <c r="G208" s="609" t="e">
        <f>AVERAGE(H208:S208)</f>
        <v>#DIV/0!</v>
      </c>
      <c r="H208" s="636"/>
      <c r="I208" s="610"/>
      <c r="J208" s="610"/>
      <c r="K208" s="610"/>
      <c r="L208" s="610"/>
      <c r="M208" s="850"/>
      <c r="N208" s="610"/>
      <c r="O208" s="610"/>
      <c r="P208" s="610"/>
      <c r="Q208" s="610"/>
      <c r="R208" s="610"/>
      <c r="S208" s="611"/>
    </row>
    <row r="209" spans="2:19" ht="15" hidden="1" customHeight="1" x14ac:dyDescent="0.25">
      <c r="B209" s="522" t="s">
        <v>177</v>
      </c>
      <c r="C209" s="750"/>
      <c r="E209" s="607"/>
      <c r="F209" s="612" t="s">
        <v>210</v>
      </c>
      <c r="G209" s="613" t="e">
        <f>AVERAGE(H209:S209)</f>
        <v>#DIV/0!</v>
      </c>
      <c r="H209" s="614"/>
      <c r="I209" s="615"/>
      <c r="J209" s="615"/>
      <c r="K209" s="615"/>
      <c r="L209" s="615"/>
      <c r="M209" s="975"/>
      <c r="N209" s="615"/>
      <c r="O209" s="615"/>
      <c r="P209" s="615"/>
      <c r="Q209" s="615"/>
      <c r="R209" s="615"/>
      <c r="S209" s="616"/>
    </row>
    <row r="210" spans="2:19" ht="15" hidden="1" customHeight="1" x14ac:dyDescent="0.25">
      <c r="B210" s="522" t="s">
        <v>180</v>
      </c>
      <c r="C210" s="750"/>
      <c r="E210" s="607"/>
      <c r="F210" s="612" t="s">
        <v>229</v>
      </c>
      <c r="G210" s="613" t="e">
        <f>((ROUND(G208/G209,0)&amp;" : "&amp;"1"))</f>
        <v>#DIV/0!</v>
      </c>
      <c r="H210" s="614" t="e">
        <f>((ROUND(H208/H209,0)&amp;" : "&amp;"1"))</f>
        <v>#DIV/0!</v>
      </c>
      <c r="I210" s="614" t="e">
        <f t="shared" ref="I210:S210" si="18">((ROUND(I208/I209,0)&amp;" : "&amp;"1"))</f>
        <v>#DIV/0!</v>
      </c>
      <c r="J210" s="614" t="e">
        <f t="shared" si="18"/>
        <v>#DIV/0!</v>
      </c>
      <c r="K210" s="614" t="e">
        <f t="shared" si="18"/>
        <v>#DIV/0!</v>
      </c>
      <c r="L210" s="614" t="e">
        <f t="shared" si="18"/>
        <v>#DIV/0!</v>
      </c>
      <c r="M210" s="989" t="e">
        <f t="shared" si="18"/>
        <v>#DIV/0!</v>
      </c>
      <c r="N210" s="614" t="e">
        <f t="shared" si="18"/>
        <v>#DIV/0!</v>
      </c>
      <c r="O210" s="614" t="e">
        <f t="shared" si="18"/>
        <v>#DIV/0!</v>
      </c>
      <c r="P210" s="614" t="e">
        <f t="shared" si="18"/>
        <v>#DIV/0!</v>
      </c>
      <c r="Q210" s="614" t="e">
        <f t="shared" si="18"/>
        <v>#DIV/0!</v>
      </c>
      <c r="R210" s="614" t="e">
        <f t="shared" si="18"/>
        <v>#DIV/0!</v>
      </c>
      <c r="S210" s="616" t="e">
        <f t="shared" si="18"/>
        <v>#DIV/0!</v>
      </c>
    </row>
    <row r="211" spans="2:19" ht="15" hidden="1" customHeight="1" x14ac:dyDescent="0.25">
      <c r="B211" s="514" t="s">
        <v>179</v>
      </c>
      <c r="C211" s="750"/>
      <c r="E211" s="607"/>
      <c r="F211" s="617" t="s">
        <v>187</v>
      </c>
      <c r="G211" s="644" t="s">
        <v>187</v>
      </c>
      <c r="H211" s="645" t="s">
        <v>187</v>
      </c>
      <c r="I211" s="645" t="s">
        <v>187</v>
      </c>
      <c r="J211" s="645" t="s">
        <v>187</v>
      </c>
      <c r="K211" s="645" t="s">
        <v>187</v>
      </c>
      <c r="L211" s="645" t="s">
        <v>187</v>
      </c>
      <c r="M211" s="990" t="s">
        <v>187</v>
      </c>
      <c r="N211" s="645" t="s">
        <v>187</v>
      </c>
      <c r="O211" s="645" t="s">
        <v>187</v>
      </c>
      <c r="P211" s="645" t="s">
        <v>187</v>
      </c>
      <c r="Q211" s="645" t="s">
        <v>187</v>
      </c>
      <c r="R211" s="645" t="s">
        <v>187</v>
      </c>
      <c r="S211" s="646" t="s">
        <v>187</v>
      </c>
    </row>
    <row r="212" spans="2:19" ht="15" hidden="1" customHeight="1" x14ac:dyDescent="0.25">
      <c r="B212" s="756" t="s">
        <v>114</v>
      </c>
      <c r="C212" s="920"/>
      <c r="D212" s="885"/>
      <c r="E212" s="621"/>
      <c r="F212" s="622"/>
      <c r="G212" s="621"/>
      <c r="H212" s="621"/>
      <c r="I212" s="621"/>
      <c r="J212" s="621"/>
      <c r="K212" s="621"/>
      <c r="L212" s="621"/>
      <c r="M212" s="997"/>
      <c r="N212" s="621"/>
      <c r="O212" s="621"/>
      <c r="P212" s="621"/>
      <c r="Q212" s="621"/>
      <c r="R212" s="621"/>
      <c r="S212" s="643"/>
    </row>
    <row r="213" spans="2:19" ht="15" hidden="1" customHeight="1" x14ac:dyDescent="0.25">
      <c r="B213" s="509" t="s">
        <v>178</v>
      </c>
      <c r="C213" s="750"/>
      <c r="E213" s="607"/>
      <c r="F213" s="608" t="s">
        <v>230</v>
      </c>
      <c r="G213" s="609" t="e">
        <f>AVERAGE(H213:S213)</f>
        <v>#DIV/0!</v>
      </c>
      <c r="H213" s="636"/>
      <c r="I213" s="610"/>
      <c r="J213" s="610"/>
      <c r="K213" s="610"/>
      <c r="L213" s="610"/>
      <c r="M213" s="850"/>
      <c r="N213" s="610"/>
      <c r="O213" s="610"/>
      <c r="P213" s="610"/>
      <c r="Q213" s="610"/>
      <c r="R213" s="610"/>
      <c r="S213" s="611"/>
    </row>
    <row r="214" spans="2:19" ht="15" hidden="1" customHeight="1" x14ac:dyDescent="0.25">
      <c r="B214" s="522" t="s">
        <v>177</v>
      </c>
      <c r="C214" s="750"/>
      <c r="E214" s="607"/>
      <c r="F214" s="612" t="s">
        <v>231</v>
      </c>
      <c r="G214" s="613" t="e">
        <f>AVERAGE(H214:S214)</f>
        <v>#DIV/0!</v>
      </c>
      <c r="H214" s="614"/>
      <c r="I214" s="615"/>
      <c r="J214" s="615"/>
      <c r="K214" s="615"/>
      <c r="L214" s="615"/>
      <c r="M214" s="975"/>
      <c r="N214" s="615"/>
      <c r="O214" s="615"/>
      <c r="P214" s="615"/>
      <c r="Q214" s="615"/>
      <c r="R214" s="615"/>
      <c r="S214" s="616"/>
    </row>
    <row r="215" spans="2:19" ht="15" hidden="1" customHeight="1" x14ac:dyDescent="0.25">
      <c r="B215" s="522" t="s">
        <v>180</v>
      </c>
      <c r="C215" s="750"/>
      <c r="E215" s="607"/>
      <c r="F215" s="612" t="s">
        <v>187</v>
      </c>
      <c r="G215" s="613" t="e">
        <f>((ROUND(G213/G214,0)&amp;" : "&amp;"1"))</f>
        <v>#DIV/0!</v>
      </c>
      <c r="H215" s="614" t="e">
        <f>((ROUND(H213/H214,0)&amp;" : "&amp;"1"))</f>
        <v>#DIV/0!</v>
      </c>
      <c r="I215" s="614" t="e">
        <f t="shared" ref="I215:S215" si="19">((ROUND(I213/I214,0)&amp;" : "&amp;"1"))</f>
        <v>#DIV/0!</v>
      </c>
      <c r="J215" s="614" t="e">
        <f t="shared" si="19"/>
        <v>#DIV/0!</v>
      </c>
      <c r="K215" s="614" t="e">
        <f t="shared" si="19"/>
        <v>#DIV/0!</v>
      </c>
      <c r="L215" s="614" t="e">
        <f t="shared" si="19"/>
        <v>#DIV/0!</v>
      </c>
      <c r="M215" s="989" t="e">
        <f t="shared" si="19"/>
        <v>#DIV/0!</v>
      </c>
      <c r="N215" s="614" t="e">
        <f t="shared" si="19"/>
        <v>#DIV/0!</v>
      </c>
      <c r="O215" s="614" t="e">
        <f t="shared" si="19"/>
        <v>#DIV/0!</v>
      </c>
      <c r="P215" s="614" t="e">
        <f t="shared" si="19"/>
        <v>#DIV/0!</v>
      </c>
      <c r="Q215" s="614" t="e">
        <f t="shared" si="19"/>
        <v>#DIV/0!</v>
      </c>
      <c r="R215" s="614" t="e">
        <f t="shared" si="19"/>
        <v>#DIV/0!</v>
      </c>
      <c r="S215" s="616" t="e">
        <f t="shared" si="19"/>
        <v>#DIV/0!</v>
      </c>
    </row>
    <row r="216" spans="2:19" ht="15" hidden="1" customHeight="1" x14ac:dyDescent="0.25">
      <c r="B216" s="514" t="s">
        <v>179</v>
      </c>
      <c r="C216" s="750"/>
      <c r="E216" s="607"/>
      <c r="F216" s="617" t="s">
        <v>188</v>
      </c>
      <c r="G216" s="644" t="s">
        <v>188</v>
      </c>
      <c r="H216" s="645" t="s">
        <v>188</v>
      </c>
      <c r="I216" s="645" t="s">
        <v>188</v>
      </c>
      <c r="J216" s="645" t="s">
        <v>188</v>
      </c>
      <c r="K216" s="645" t="s">
        <v>188</v>
      </c>
      <c r="L216" s="645" t="s">
        <v>188</v>
      </c>
      <c r="M216" s="990" t="s">
        <v>188</v>
      </c>
      <c r="N216" s="645" t="s">
        <v>188</v>
      </c>
      <c r="O216" s="645" t="s">
        <v>188</v>
      </c>
      <c r="P216" s="645" t="s">
        <v>188</v>
      </c>
      <c r="Q216" s="645" t="s">
        <v>188</v>
      </c>
      <c r="R216" s="645" t="s">
        <v>188</v>
      </c>
      <c r="S216" s="646" t="s">
        <v>188</v>
      </c>
    </row>
    <row r="217" spans="2:19" ht="15" hidden="1" customHeight="1" x14ac:dyDescent="0.25">
      <c r="B217" s="756" t="s">
        <v>203</v>
      </c>
      <c r="C217" s="920"/>
      <c r="D217" s="885"/>
      <c r="E217" s="621"/>
      <c r="F217" s="622"/>
      <c r="G217" s="621"/>
      <c r="H217" s="621"/>
      <c r="I217" s="621"/>
      <c r="J217" s="621"/>
      <c r="K217" s="621"/>
      <c r="L217" s="621"/>
      <c r="M217" s="997"/>
      <c r="N217" s="621"/>
      <c r="O217" s="621"/>
      <c r="P217" s="621"/>
      <c r="Q217" s="621"/>
      <c r="R217" s="621"/>
      <c r="S217" s="643"/>
    </row>
    <row r="218" spans="2:19" ht="15" hidden="1" customHeight="1" x14ac:dyDescent="0.25">
      <c r="B218" s="509" t="s">
        <v>178</v>
      </c>
      <c r="C218" s="750"/>
      <c r="E218" s="647"/>
      <c r="F218" s="608" t="s">
        <v>232</v>
      </c>
      <c r="G218" s="609" t="e">
        <f>AVERAGE(H218:S218)</f>
        <v>#DIV/0!</v>
      </c>
      <c r="H218" s="636"/>
      <c r="I218" s="610"/>
      <c r="J218" s="610"/>
      <c r="K218" s="610"/>
      <c r="L218" s="648"/>
      <c r="M218" s="850"/>
      <c r="N218" s="610"/>
      <c r="O218" s="610"/>
      <c r="P218" s="610"/>
      <c r="Q218" s="610"/>
      <c r="R218" s="610"/>
      <c r="S218" s="611"/>
    </row>
    <row r="219" spans="2:19" ht="15" hidden="1" customHeight="1" x14ac:dyDescent="0.25">
      <c r="B219" s="522" t="s">
        <v>177</v>
      </c>
      <c r="C219" s="750"/>
      <c r="E219" s="607"/>
      <c r="F219" s="612" t="s">
        <v>218</v>
      </c>
      <c r="G219" s="613" t="e">
        <f>AVERAGE(H219:S219)</f>
        <v>#DIV/0!</v>
      </c>
      <c r="H219" s="614"/>
      <c r="I219" s="615"/>
      <c r="J219" s="615"/>
      <c r="K219" s="615"/>
      <c r="L219" s="648"/>
      <c r="M219" s="975"/>
      <c r="N219" s="615"/>
      <c r="O219" s="615"/>
      <c r="P219" s="615"/>
      <c r="Q219" s="615"/>
      <c r="R219" s="615"/>
      <c r="S219" s="616"/>
    </row>
    <row r="220" spans="2:19" ht="15" hidden="1" customHeight="1" x14ac:dyDescent="0.25">
      <c r="B220" s="522" t="s">
        <v>180</v>
      </c>
      <c r="C220" s="750"/>
      <c r="E220" s="607"/>
      <c r="F220" s="612" t="s">
        <v>233</v>
      </c>
      <c r="G220" s="613" t="e">
        <f>((ROUND(G218/G219,0)&amp;" : "&amp;"1"))</f>
        <v>#DIV/0!</v>
      </c>
      <c r="H220" s="614" t="e">
        <f>((ROUND(H218/H219,0)&amp;" : "&amp;"1"))</f>
        <v>#DIV/0!</v>
      </c>
      <c r="I220" s="614" t="e">
        <f t="shared" ref="I220:S220" si="20">((ROUND(I218/I219,0)&amp;" : "&amp;"1"))</f>
        <v>#DIV/0!</v>
      </c>
      <c r="J220" s="614" t="e">
        <f t="shared" si="20"/>
        <v>#DIV/0!</v>
      </c>
      <c r="K220" s="614" t="e">
        <f t="shared" si="20"/>
        <v>#DIV/0!</v>
      </c>
      <c r="L220" s="614" t="e">
        <f t="shared" si="20"/>
        <v>#DIV/0!</v>
      </c>
      <c r="M220" s="989" t="e">
        <f t="shared" si="20"/>
        <v>#DIV/0!</v>
      </c>
      <c r="N220" s="614" t="e">
        <f t="shared" si="20"/>
        <v>#DIV/0!</v>
      </c>
      <c r="O220" s="614" t="e">
        <f t="shared" si="20"/>
        <v>#DIV/0!</v>
      </c>
      <c r="P220" s="614" t="e">
        <f t="shared" si="20"/>
        <v>#DIV/0!</v>
      </c>
      <c r="Q220" s="614" t="e">
        <f t="shared" si="20"/>
        <v>#DIV/0!</v>
      </c>
      <c r="R220" s="614" t="e">
        <f t="shared" si="20"/>
        <v>#DIV/0!</v>
      </c>
      <c r="S220" s="631" t="e">
        <f t="shared" si="20"/>
        <v>#DIV/0!</v>
      </c>
    </row>
    <row r="221" spans="2:19" ht="15" hidden="1" customHeight="1" x14ac:dyDescent="0.25">
      <c r="B221" s="514" t="s">
        <v>179</v>
      </c>
      <c r="C221" s="750"/>
      <c r="E221" s="607"/>
      <c r="F221" s="617" t="s">
        <v>189</v>
      </c>
      <c r="G221" s="644" t="s">
        <v>189</v>
      </c>
      <c r="H221" s="645" t="s">
        <v>189</v>
      </c>
      <c r="I221" s="645" t="s">
        <v>189</v>
      </c>
      <c r="J221" s="645" t="s">
        <v>189</v>
      </c>
      <c r="K221" s="645" t="s">
        <v>189</v>
      </c>
      <c r="L221" s="645" t="s">
        <v>189</v>
      </c>
      <c r="M221" s="990" t="s">
        <v>189</v>
      </c>
      <c r="N221" s="645" t="s">
        <v>189</v>
      </c>
      <c r="O221" s="645" t="s">
        <v>189</v>
      </c>
      <c r="P221" s="645" t="s">
        <v>189</v>
      </c>
      <c r="Q221" s="645" t="s">
        <v>189</v>
      </c>
      <c r="R221" s="645" t="s">
        <v>189</v>
      </c>
      <c r="S221" s="649" t="s">
        <v>189</v>
      </c>
    </row>
    <row r="222" spans="2:19" ht="15" hidden="1" customHeight="1" x14ac:dyDescent="0.25">
      <c r="B222" s="756" t="s">
        <v>201</v>
      </c>
      <c r="C222" s="920"/>
      <c r="D222" s="885"/>
      <c r="E222" s="621"/>
      <c r="F222" s="622"/>
      <c r="G222" s="650"/>
      <c r="H222" s="621"/>
      <c r="I222" s="621"/>
      <c r="J222" s="621"/>
      <c r="K222" s="1047"/>
      <c r="L222" s="1047"/>
      <c r="M222" s="997"/>
      <c r="N222" s="621"/>
      <c r="O222" s="621"/>
      <c r="P222" s="621"/>
      <c r="Q222" s="621"/>
      <c r="R222" s="621"/>
      <c r="S222" s="643"/>
    </row>
    <row r="223" spans="2:19" ht="15" hidden="1" customHeight="1" x14ac:dyDescent="0.25">
      <c r="B223" s="509" t="s">
        <v>178</v>
      </c>
      <c r="C223" s="750"/>
      <c r="E223" s="607"/>
      <c r="F223" s="608" t="s">
        <v>234</v>
      </c>
      <c r="G223" s="609" t="e">
        <f>AVERAGE(H223:N223)</f>
        <v>#DIV/0!</v>
      </c>
      <c r="H223" s="636"/>
      <c r="I223" s="610"/>
      <c r="J223" s="610"/>
      <c r="K223" s="610"/>
      <c r="L223" s="610"/>
      <c r="M223" s="850"/>
      <c r="N223" s="610"/>
      <c r="O223" s="610"/>
      <c r="P223" s="610"/>
      <c r="Q223" s="610"/>
      <c r="R223" s="610"/>
      <c r="S223" s="611"/>
    </row>
    <row r="224" spans="2:19" ht="15" hidden="1" customHeight="1" x14ac:dyDescent="0.25">
      <c r="B224" s="522" t="s">
        <v>177</v>
      </c>
      <c r="C224" s="750"/>
      <c r="E224" s="607"/>
      <c r="F224" s="612" t="s">
        <v>235</v>
      </c>
      <c r="G224" s="613" t="e">
        <f>AVERAGE(H224:S224)</f>
        <v>#DIV/0!</v>
      </c>
      <c r="H224" s="614"/>
      <c r="I224" s="615"/>
      <c r="J224" s="615"/>
      <c r="K224" s="615"/>
      <c r="L224" s="615"/>
      <c r="M224" s="975"/>
      <c r="N224" s="615"/>
      <c r="O224" s="615"/>
      <c r="P224" s="615"/>
      <c r="Q224" s="615"/>
      <c r="R224" s="615"/>
      <c r="S224" s="616"/>
    </row>
    <row r="225" spans="2:19" ht="15" hidden="1" customHeight="1" x14ac:dyDescent="0.25">
      <c r="B225" s="522" t="s">
        <v>180</v>
      </c>
      <c r="C225" s="750"/>
      <c r="E225" s="607"/>
      <c r="F225" s="612" t="s">
        <v>236</v>
      </c>
      <c r="G225" s="613" t="e">
        <f>((ROUND(G223/G224,0)&amp;" : "&amp;"1"))</f>
        <v>#DIV/0!</v>
      </c>
      <c r="H225" s="614" t="e">
        <f>((ROUND(H223/H224,0)&amp;" : "&amp;"1"))</f>
        <v>#DIV/0!</v>
      </c>
      <c r="I225" s="614" t="e">
        <f t="shared" ref="I225:S225" si="21">((ROUND(I223/I224,0)&amp;" : "&amp;"1"))</f>
        <v>#DIV/0!</v>
      </c>
      <c r="J225" s="614" t="e">
        <f t="shared" si="21"/>
        <v>#DIV/0!</v>
      </c>
      <c r="K225" s="614" t="e">
        <f t="shared" si="21"/>
        <v>#DIV/0!</v>
      </c>
      <c r="L225" s="614" t="e">
        <f t="shared" si="21"/>
        <v>#DIV/0!</v>
      </c>
      <c r="M225" s="989" t="e">
        <f t="shared" si="21"/>
        <v>#DIV/0!</v>
      </c>
      <c r="N225" s="614" t="e">
        <f t="shared" si="21"/>
        <v>#DIV/0!</v>
      </c>
      <c r="O225" s="614" t="e">
        <f t="shared" si="21"/>
        <v>#DIV/0!</v>
      </c>
      <c r="P225" s="614" t="e">
        <f t="shared" si="21"/>
        <v>#DIV/0!</v>
      </c>
      <c r="Q225" s="614" t="e">
        <f t="shared" si="21"/>
        <v>#DIV/0!</v>
      </c>
      <c r="R225" s="614" t="e">
        <f t="shared" si="21"/>
        <v>#DIV/0!</v>
      </c>
      <c r="S225" s="631" t="e">
        <f t="shared" si="21"/>
        <v>#DIV/0!</v>
      </c>
    </row>
    <row r="226" spans="2:19" ht="15" hidden="1" customHeight="1" x14ac:dyDescent="0.25">
      <c r="B226" s="514" t="s">
        <v>179</v>
      </c>
      <c r="C226" s="750"/>
      <c r="E226" s="607"/>
      <c r="F226" s="617" t="s">
        <v>211</v>
      </c>
      <c r="G226" s="618" t="s">
        <v>211</v>
      </c>
      <c r="H226" s="619" t="s">
        <v>211</v>
      </c>
      <c r="I226" s="619" t="s">
        <v>211</v>
      </c>
      <c r="J226" s="619" t="s">
        <v>211</v>
      </c>
      <c r="K226" s="619" t="s">
        <v>211</v>
      </c>
      <c r="L226" s="619" t="s">
        <v>211</v>
      </c>
      <c r="M226" s="990" t="s">
        <v>211</v>
      </c>
      <c r="N226" s="619" t="s">
        <v>211</v>
      </c>
      <c r="O226" s="619" t="s">
        <v>211</v>
      </c>
      <c r="P226" s="619" t="s">
        <v>211</v>
      </c>
      <c r="Q226" s="619" t="s">
        <v>211</v>
      </c>
      <c r="R226" s="619" t="s">
        <v>211</v>
      </c>
      <c r="S226" s="632" t="s">
        <v>211</v>
      </c>
    </row>
    <row r="227" spans="2:19" ht="15" hidden="1" customHeight="1" x14ac:dyDescent="0.25">
      <c r="B227" s="756" t="s">
        <v>163</v>
      </c>
      <c r="C227" s="920"/>
      <c r="D227" s="885"/>
      <c r="E227" s="621"/>
      <c r="F227" s="622"/>
      <c r="G227" s="650"/>
      <c r="H227" s="621"/>
      <c r="I227" s="621"/>
      <c r="J227" s="621"/>
      <c r="K227" s="1047"/>
      <c r="L227" s="1047"/>
      <c r="M227" s="997"/>
      <c r="N227" s="621"/>
      <c r="O227" s="621"/>
      <c r="P227" s="621"/>
      <c r="Q227" s="621"/>
      <c r="R227" s="621"/>
      <c r="S227" s="643"/>
    </row>
    <row r="228" spans="2:19" ht="15" hidden="1" customHeight="1" x14ac:dyDescent="0.25">
      <c r="B228" s="509" t="s">
        <v>178</v>
      </c>
      <c r="C228" s="750"/>
      <c r="E228" s="607"/>
      <c r="F228" s="608" t="s">
        <v>237</v>
      </c>
      <c r="G228" s="609" t="e">
        <f>AVERAGE(H228:S228)</f>
        <v>#DIV/0!</v>
      </c>
      <c r="H228" s="636"/>
      <c r="I228" s="610"/>
      <c r="J228" s="610"/>
      <c r="K228" s="610"/>
      <c r="L228" s="610"/>
      <c r="M228" s="850"/>
      <c r="N228" s="610"/>
      <c r="O228" s="610"/>
      <c r="P228" s="610"/>
      <c r="Q228" s="610"/>
      <c r="R228" s="610"/>
      <c r="S228" s="611"/>
    </row>
    <row r="229" spans="2:19" ht="15" hidden="1" customHeight="1" x14ac:dyDescent="0.25">
      <c r="B229" s="522" t="s">
        <v>177</v>
      </c>
      <c r="C229" s="750"/>
      <c r="E229" s="607"/>
      <c r="F229" s="612" t="s">
        <v>227</v>
      </c>
      <c r="G229" s="613" t="e">
        <f>AVERAGE(H229:S229)</f>
        <v>#DIV/0!</v>
      </c>
      <c r="H229" s="614"/>
      <c r="I229" s="615"/>
      <c r="J229" s="615"/>
      <c r="K229" s="615"/>
      <c r="L229" s="615"/>
      <c r="M229" s="975"/>
      <c r="N229" s="615"/>
      <c r="O229" s="615"/>
      <c r="P229" s="615"/>
      <c r="Q229" s="615"/>
      <c r="R229" s="615"/>
      <c r="S229" s="616"/>
    </row>
    <row r="230" spans="2:19" ht="15" hidden="1" customHeight="1" x14ac:dyDescent="0.25">
      <c r="B230" s="522" t="s">
        <v>180</v>
      </c>
      <c r="C230" s="750"/>
      <c r="E230" s="607"/>
      <c r="F230" s="612" t="s">
        <v>225</v>
      </c>
      <c r="G230" s="613" t="e">
        <f>((ROUND(G228/G229,0)&amp;" : "&amp;"1"))</f>
        <v>#DIV/0!</v>
      </c>
      <c r="H230" s="614" t="e">
        <f>((ROUND(H228/H229,0)&amp;" : "&amp;"1"))</f>
        <v>#DIV/0!</v>
      </c>
      <c r="I230" s="614" t="e">
        <f t="shared" ref="I230:S230" si="22">((ROUND(I228/I229,0)&amp;" : "&amp;"1"))</f>
        <v>#DIV/0!</v>
      </c>
      <c r="J230" s="614" t="e">
        <f t="shared" si="22"/>
        <v>#DIV/0!</v>
      </c>
      <c r="K230" s="614" t="e">
        <f t="shared" si="22"/>
        <v>#DIV/0!</v>
      </c>
      <c r="L230" s="614" t="e">
        <f t="shared" si="22"/>
        <v>#DIV/0!</v>
      </c>
      <c r="M230" s="989" t="e">
        <f t="shared" si="22"/>
        <v>#DIV/0!</v>
      </c>
      <c r="N230" s="614" t="e">
        <f t="shared" si="22"/>
        <v>#DIV/0!</v>
      </c>
      <c r="O230" s="614" t="e">
        <f t="shared" si="22"/>
        <v>#DIV/0!</v>
      </c>
      <c r="P230" s="614" t="e">
        <f t="shared" si="22"/>
        <v>#DIV/0!</v>
      </c>
      <c r="Q230" s="614" t="e">
        <f t="shared" si="22"/>
        <v>#DIV/0!</v>
      </c>
      <c r="R230" s="614" t="e">
        <f t="shared" si="22"/>
        <v>#DIV/0!</v>
      </c>
      <c r="S230" s="631" t="e">
        <f t="shared" si="22"/>
        <v>#DIV/0!</v>
      </c>
    </row>
    <row r="231" spans="2:19" ht="15" hidden="1" customHeight="1" x14ac:dyDescent="0.25">
      <c r="B231" s="514" t="s">
        <v>179</v>
      </c>
      <c r="C231" s="750"/>
      <c r="E231" s="607"/>
      <c r="F231" s="617" t="s">
        <v>212</v>
      </c>
      <c r="G231" s="618" t="s">
        <v>212</v>
      </c>
      <c r="H231" s="619" t="s">
        <v>212</v>
      </c>
      <c r="I231" s="619" t="s">
        <v>212</v>
      </c>
      <c r="J231" s="619" t="s">
        <v>212</v>
      </c>
      <c r="K231" s="619" t="s">
        <v>212</v>
      </c>
      <c r="L231" s="619" t="s">
        <v>212</v>
      </c>
      <c r="M231" s="990" t="s">
        <v>212</v>
      </c>
      <c r="N231" s="619" t="s">
        <v>212</v>
      </c>
      <c r="O231" s="619" t="s">
        <v>212</v>
      </c>
      <c r="P231" s="619" t="s">
        <v>212</v>
      </c>
      <c r="Q231" s="619" t="s">
        <v>212</v>
      </c>
      <c r="R231" s="619" t="s">
        <v>212</v>
      </c>
      <c r="S231" s="632" t="s">
        <v>212</v>
      </c>
    </row>
    <row r="232" spans="2:19" ht="15" hidden="1" customHeight="1" x14ac:dyDescent="0.25">
      <c r="B232" s="756" t="s">
        <v>202</v>
      </c>
      <c r="C232" s="920"/>
      <c r="D232" s="885"/>
      <c r="E232" s="621"/>
      <c r="F232" s="622"/>
      <c r="G232" s="650"/>
      <c r="H232" s="621"/>
      <c r="I232" s="621"/>
      <c r="J232" s="621"/>
      <c r="K232" s="1047"/>
      <c r="L232" s="1047"/>
      <c r="M232" s="997"/>
      <c r="N232" s="621"/>
      <c r="O232" s="621"/>
      <c r="P232" s="621"/>
      <c r="Q232" s="621"/>
      <c r="R232" s="621"/>
      <c r="S232" s="643"/>
    </row>
    <row r="233" spans="2:19" ht="15" hidden="1" customHeight="1" x14ac:dyDescent="0.25">
      <c r="B233" s="509" t="s">
        <v>178</v>
      </c>
      <c r="C233" s="750"/>
      <c r="E233" s="607"/>
      <c r="F233" s="608" t="s">
        <v>238</v>
      </c>
      <c r="G233" s="609" t="e">
        <f>AVERAGE(H233:S233)</f>
        <v>#DIV/0!</v>
      </c>
      <c r="H233" s="636"/>
      <c r="I233" s="610"/>
      <c r="J233" s="610"/>
      <c r="K233" s="610"/>
      <c r="L233" s="610"/>
      <c r="M233" s="850"/>
      <c r="N233" s="610"/>
      <c r="O233" s="610"/>
      <c r="P233" s="610"/>
      <c r="Q233" s="610"/>
      <c r="R233" s="610"/>
      <c r="S233" s="611"/>
    </row>
    <row r="234" spans="2:19" ht="15" hidden="1" customHeight="1" x14ac:dyDescent="0.25">
      <c r="B234" s="522" t="s">
        <v>177</v>
      </c>
      <c r="C234" s="750"/>
      <c r="E234" s="607"/>
      <c r="F234" s="612" t="s">
        <v>235</v>
      </c>
      <c r="G234" s="613" t="e">
        <f>AVERAGE(H234:S234)</f>
        <v>#DIV/0!</v>
      </c>
      <c r="H234" s="614"/>
      <c r="I234" s="615"/>
      <c r="J234" s="615"/>
      <c r="K234" s="615"/>
      <c r="L234" s="615"/>
      <c r="M234" s="975"/>
      <c r="N234" s="615"/>
      <c r="O234" s="615"/>
      <c r="P234" s="615"/>
      <c r="Q234" s="615"/>
      <c r="R234" s="615"/>
      <c r="S234" s="616"/>
    </row>
    <row r="235" spans="2:19" ht="15" hidden="1" customHeight="1" x14ac:dyDescent="0.25">
      <c r="B235" s="522" t="s">
        <v>180</v>
      </c>
      <c r="C235" s="750"/>
      <c r="E235" s="607"/>
      <c r="F235" s="612" t="s">
        <v>236</v>
      </c>
      <c r="G235" s="613" t="e">
        <f>((ROUND(G233/G234,0)&amp;" : "&amp;"1"))</f>
        <v>#DIV/0!</v>
      </c>
      <c r="H235" s="614" t="e">
        <f>((ROUND(H233/H234,0)&amp;" : "&amp;"1"))</f>
        <v>#DIV/0!</v>
      </c>
      <c r="I235" s="614" t="e">
        <f t="shared" ref="I235:S235" si="23">((ROUND(I233/I234,0)&amp;" : "&amp;"1"))</f>
        <v>#DIV/0!</v>
      </c>
      <c r="J235" s="614" t="e">
        <f t="shared" si="23"/>
        <v>#DIV/0!</v>
      </c>
      <c r="K235" s="614" t="e">
        <f t="shared" si="23"/>
        <v>#DIV/0!</v>
      </c>
      <c r="L235" s="614" t="e">
        <f t="shared" si="23"/>
        <v>#DIV/0!</v>
      </c>
      <c r="M235" s="989" t="e">
        <f t="shared" si="23"/>
        <v>#DIV/0!</v>
      </c>
      <c r="N235" s="614" t="e">
        <f t="shared" si="23"/>
        <v>#DIV/0!</v>
      </c>
      <c r="O235" s="614" t="e">
        <f t="shared" si="23"/>
        <v>#DIV/0!</v>
      </c>
      <c r="P235" s="614" t="e">
        <f t="shared" si="23"/>
        <v>#DIV/0!</v>
      </c>
      <c r="Q235" s="614" t="e">
        <f t="shared" si="23"/>
        <v>#DIV/0!</v>
      </c>
      <c r="R235" s="614" t="e">
        <f t="shared" si="23"/>
        <v>#DIV/0!</v>
      </c>
      <c r="S235" s="631" t="e">
        <f t="shared" si="23"/>
        <v>#DIV/0!</v>
      </c>
    </row>
    <row r="236" spans="2:19" ht="15" hidden="1" customHeight="1" x14ac:dyDescent="0.25">
      <c r="B236" s="759" t="s">
        <v>179</v>
      </c>
      <c r="C236" s="914"/>
      <c r="D236" s="880"/>
      <c r="E236" s="637"/>
      <c r="F236" s="638" t="s">
        <v>211</v>
      </c>
      <c r="G236" s="639" t="s">
        <v>211</v>
      </c>
      <c r="H236" s="640" t="s">
        <v>189</v>
      </c>
      <c r="I236" s="640" t="s">
        <v>189</v>
      </c>
      <c r="J236" s="640" t="s">
        <v>189</v>
      </c>
      <c r="K236" s="640" t="s">
        <v>189</v>
      </c>
      <c r="L236" s="640" t="s">
        <v>189</v>
      </c>
      <c r="M236" s="995" t="s">
        <v>189</v>
      </c>
      <c r="N236" s="640" t="s">
        <v>189</v>
      </c>
      <c r="O236" s="640" t="s">
        <v>189</v>
      </c>
      <c r="P236" s="651" t="s">
        <v>211</v>
      </c>
      <c r="Q236" s="651" t="s">
        <v>211</v>
      </c>
      <c r="R236" s="651" t="s">
        <v>211</v>
      </c>
      <c r="S236" s="652" t="s">
        <v>211</v>
      </c>
    </row>
    <row r="237" spans="2:19" hidden="1" x14ac:dyDescent="0.25"/>
    <row r="238" spans="2:19" hidden="1" x14ac:dyDescent="0.25"/>
  </sheetData>
  <mergeCells count="35">
    <mergeCell ref="B172:S172"/>
    <mergeCell ref="B174:S174"/>
    <mergeCell ref="K222:L222"/>
    <mergeCell ref="K227:L227"/>
    <mergeCell ref="K232:L232"/>
    <mergeCell ref="B164:S164"/>
    <mergeCell ref="B107:S107"/>
    <mergeCell ref="B117:S117"/>
    <mergeCell ref="B118:S118"/>
    <mergeCell ref="B124:S124"/>
    <mergeCell ref="B129:S129"/>
    <mergeCell ref="B136:S136"/>
    <mergeCell ref="B137:S137"/>
    <mergeCell ref="B142:S142"/>
    <mergeCell ref="B148:S148"/>
    <mergeCell ref="B149:S149"/>
    <mergeCell ref="B157:S157"/>
    <mergeCell ref="B104:S104"/>
    <mergeCell ref="B44:S44"/>
    <mergeCell ref="E48:F49"/>
    <mergeCell ref="G48:G49"/>
    <mergeCell ref="B52:S52"/>
    <mergeCell ref="B57:S57"/>
    <mergeCell ref="B64:S64"/>
    <mergeCell ref="B77:S77"/>
    <mergeCell ref="B78:S78"/>
    <mergeCell ref="B84:S84"/>
    <mergeCell ref="B88:S88"/>
    <mergeCell ref="B98:S98"/>
    <mergeCell ref="B24:S24"/>
    <mergeCell ref="E1:F1"/>
    <mergeCell ref="B3:S3"/>
    <mergeCell ref="B4:S4"/>
    <mergeCell ref="B5:S5"/>
    <mergeCell ref="B13:S13"/>
  </mergeCells>
  <pageMargins left="0.25" right="0.25" top="0.75" bottom="0.75" header="0.3" footer="0.3"/>
  <pageSetup scale="5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AAE7-AF57-4127-9FE0-9B14DC88A75C}">
  <sheetPr>
    <pageSetUpPr fitToPage="1"/>
  </sheetPr>
  <dimension ref="A1:U238"/>
  <sheetViews>
    <sheetView topLeftCell="B1" zoomScale="106" zoomScaleNormal="112" workbookViewId="0">
      <pane xSplit="6" ySplit="5" topLeftCell="K54" activePane="bottomRight" state="frozen"/>
      <selection activeCell="B1" sqref="B1"/>
      <selection pane="topRight" activeCell="G1" sqref="G1"/>
      <selection pane="bottomLeft" activeCell="B6" sqref="B6"/>
      <selection pane="bottomRight" activeCell="S38" sqref="S38"/>
    </sheetView>
  </sheetViews>
  <sheetFormatPr defaultColWidth="8.85546875" defaultRowHeight="12.75" x14ac:dyDescent="0.25"/>
  <cols>
    <col min="1" max="1" width="9.140625" style="518" hidden="1" customWidth="1"/>
    <col min="2" max="2" width="77.5703125" style="518" customWidth="1"/>
    <col min="3" max="3" width="0.140625" style="518" hidden="1" customWidth="1"/>
    <col min="4" max="4" width="15" style="875" hidden="1" customWidth="1"/>
    <col min="5" max="5" width="14.85546875" style="696" customWidth="1"/>
    <col min="6" max="6" width="14.140625" style="696" customWidth="1"/>
    <col min="7" max="7" width="13.28515625" style="653" customWidth="1"/>
    <col min="8" max="8" width="16.28515625" style="696" bestFit="1" customWidth="1"/>
    <col min="9" max="9" width="12.7109375" style="696" customWidth="1"/>
    <col min="10" max="10" width="17.85546875" style="696" customWidth="1"/>
    <col min="11" max="11" width="19.5703125" style="696" customWidth="1"/>
    <col min="12" max="12" width="14.140625" style="696" customWidth="1"/>
    <col min="13" max="13" width="14" style="696" customWidth="1"/>
    <col min="14" max="14" width="14.5703125" style="696" customWidth="1"/>
    <col min="15" max="18" width="12.7109375" style="696" customWidth="1"/>
    <col min="19" max="19" width="12.140625" style="696" customWidth="1"/>
    <col min="20" max="20" width="11" style="518" bestFit="1" customWidth="1"/>
    <col min="21" max="16384" width="8.85546875" style="518"/>
  </cols>
  <sheetData>
    <row r="1" spans="1:21" s="768" customFormat="1" ht="15.95" customHeight="1" x14ac:dyDescent="0.25">
      <c r="A1" s="764"/>
      <c r="B1" s="765"/>
      <c r="C1" s="765" t="s">
        <v>389</v>
      </c>
      <c r="D1" s="864"/>
      <c r="E1" s="1083" t="s">
        <v>262</v>
      </c>
      <c r="F1" s="1084"/>
      <c r="G1" s="504" t="s">
        <v>123</v>
      </c>
      <c r="H1" s="766"/>
      <c r="I1" s="766"/>
      <c r="J1" s="766"/>
      <c r="K1" s="766"/>
      <c r="L1" s="766"/>
      <c r="M1" s="766"/>
      <c r="N1" s="766"/>
      <c r="O1" s="766"/>
      <c r="P1" s="766"/>
      <c r="Q1" s="766"/>
      <c r="R1" s="766"/>
      <c r="S1" s="767"/>
    </row>
    <row r="2" spans="1:21" s="768" customFormat="1" ht="28.5" customHeight="1" x14ac:dyDescent="0.25">
      <c r="A2" s="769"/>
      <c r="B2" s="770"/>
      <c r="C2" s="770"/>
      <c r="D2" s="886"/>
      <c r="E2" s="771" t="s">
        <v>261</v>
      </c>
      <c r="F2" s="772" t="s">
        <v>396</v>
      </c>
      <c r="G2" s="773" t="s">
        <v>406</v>
      </c>
      <c r="H2" s="774" t="s">
        <v>6</v>
      </c>
      <c r="I2" s="771" t="s">
        <v>7</v>
      </c>
      <c r="J2" s="771" t="s">
        <v>8</v>
      </c>
      <c r="K2" s="771" t="s">
        <v>9</v>
      </c>
      <c r="L2" s="771" t="s">
        <v>10</v>
      </c>
      <c r="M2" s="771" t="s">
        <v>11</v>
      </c>
      <c r="N2" s="771" t="s">
        <v>12</v>
      </c>
      <c r="O2" s="771" t="s">
        <v>13</v>
      </c>
      <c r="P2" s="771" t="s">
        <v>14</v>
      </c>
      <c r="Q2" s="771" t="s">
        <v>15</v>
      </c>
      <c r="R2" s="771" t="s">
        <v>16</v>
      </c>
      <c r="S2" s="771" t="s">
        <v>17</v>
      </c>
    </row>
    <row r="3" spans="1:21" s="655" customFormat="1" ht="15.95" customHeight="1" x14ac:dyDescent="0.25">
      <c r="A3" s="654"/>
      <c r="B3" s="1054" t="s">
        <v>264</v>
      </c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6"/>
    </row>
    <row r="4" spans="1:21" s="655" customFormat="1" ht="15.95" customHeight="1" x14ac:dyDescent="0.25">
      <c r="A4" s="654"/>
      <c r="B4" s="1085"/>
      <c r="C4" s="1086"/>
      <c r="D4" s="1086"/>
      <c r="E4" s="1086"/>
      <c r="F4" s="1086"/>
      <c r="G4" s="1086"/>
      <c r="H4" s="1086"/>
      <c r="I4" s="1086"/>
      <c r="J4" s="1086"/>
      <c r="K4" s="1086"/>
      <c r="L4" s="1086"/>
      <c r="M4" s="1086"/>
      <c r="N4" s="1086"/>
      <c r="O4" s="1086"/>
      <c r="P4" s="1086"/>
      <c r="Q4" s="1086"/>
      <c r="R4" s="1086"/>
      <c r="S4" s="1087"/>
    </row>
    <row r="5" spans="1:21" s="655" customFormat="1" ht="15.95" customHeight="1" x14ac:dyDescent="0.25">
      <c r="A5" s="654"/>
      <c r="B5" s="1088" t="s">
        <v>18</v>
      </c>
      <c r="C5" s="1089"/>
      <c r="D5" s="1089"/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089"/>
      <c r="R5" s="1089"/>
      <c r="S5" s="1090"/>
    </row>
    <row r="6" spans="1:21" ht="15" customHeight="1" x14ac:dyDescent="0.25">
      <c r="A6" s="516"/>
      <c r="B6" s="509" t="s">
        <v>282</v>
      </c>
      <c r="C6" s="902" t="s">
        <v>391</v>
      </c>
      <c r="D6" s="871"/>
      <c r="E6" s="657">
        <f>'FY 19'!G6</f>
        <v>3137</v>
      </c>
      <c r="F6" s="510">
        <v>2670</v>
      </c>
      <c r="G6" s="653">
        <f>SUM(H6:S6)</f>
        <v>3067</v>
      </c>
      <c r="H6" s="511">
        <v>208</v>
      </c>
      <c r="I6" s="512">
        <v>231</v>
      </c>
      <c r="J6" s="512">
        <v>295</v>
      </c>
      <c r="K6" s="512">
        <v>261</v>
      </c>
      <c r="L6" s="512">
        <v>255</v>
      </c>
      <c r="M6" s="512">
        <v>251</v>
      </c>
      <c r="N6" s="512">
        <v>232</v>
      </c>
      <c r="O6" s="512">
        <v>220</v>
      </c>
      <c r="P6" s="512">
        <v>274</v>
      </c>
      <c r="Q6" s="512">
        <v>275</v>
      </c>
      <c r="R6" s="512">
        <v>296</v>
      </c>
      <c r="S6" s="513">
        <v>269</v>
      </c>
    </row>
    <row r="7" spans="1:21" ht="15" customHeight="1" x14ac:dyDescent="0.25">
      <c r="A7" s="516"/>
      <c r="B7" s="514" t="s">
        <v>263</v>
      </c>
      <c r="C7" s="902" t="s">
        <v>391</v>
      </c>
      <c r="D7" s="872"/>
      <c r="E7" s="657">
        <f>'FY 19'!G7</f>
        <v>1586</v>
      </c>
      <c r="F7" s="510">
        <v>1430</v>
      </c>
      <c r="G7" s="653">
        <f t="shared" ref="G7:G12" si="0">SUM(H7:S7)</f>
        <v>1429</v>
      </c>
      <c r="H7" s="511">
        <v>102</v>
      </c>
      <c r="I7" s="512">
        <v>108</v>
      </c>
      <c r="J7" s="512">
        <v>138</v>
      </c>
      <c r="K7" s="512">
        <v>118</v>
      </c>
      <c r="L7" s="512">
        <v>137</v>
      </c>
      <c r="M7" s="512">
        <v>117</v>
      </c>
      <c r="N7" s="512">
        <v>106</v>
      </c>
      <c r="O7" s="512">
        <v>104</v>
      </c>
      <c r="P7" s="512">
        <v>140</v>
      </c>
      <c r="Q7" s="512">
        <v>122</v>
      </c>
      <c r="R7" s="512">
        <v>124</v>
      </c>
      <c r="S7" s="513">
        <v>113</v>
      </c>
    </row>
    <row r="8" spans="1:21" ht="15" customHeight="1" x14ac:dyDescent="0.25">
      <c r="A8" s="516"/>
      <c r="B8" s="522" t="s">
        <v>283</v>
      </c>
      <c r="C8" s="902" t="s">
        <v>391</v>
      </c>
      <c r="D8" s="873"/>
      <c r="E8" s="657">
        <f>'FY 19'!G8</f>
        <v>5076</v>
      </c>
      <c r="F8" s="510">
        <v>3546</v>
      </c>
      <c r="G8" s="653">
        <f t="shared" si="0"/>
        <v>3905</v>
      </c>
      <c r="H8" s="511">
        <v>379</v>
      </c>
      <c r="I8" s="512">
        <v>446</v>
      </c>
      <c r="J8" s="696">
        <v>485</v>
      </c>
      <c r="K8" s="512">
        <v>204</v>
      </c>
      <c r="L8" s="512"/>
      <c r="M8" s="512"/>
      <c r="N8" s="512">
        <v>414</v>
      </c>
      <c r="O8" s="512">
        <v>390</v>
      </c>
      <c r="P8" s="512">
        <v>451</v>
      </c>
      <c r="Q8" s="512">
        <v>443</v>
      </c>
      <c r="R8" s="512">
        <v>493</v>
      </c>
      <c r="S8" s="513">
        <v>200</v>
      </c>
    </row>
    <row r="9" spans="1:21" ht="15" customHeight="1" x14ac:dyDescent="0.25">
      <c r="A9" s="516"/>
      <c r="B9" s="509" t="s">
        <v>284</v>
      </c>
      <c r="C9" s="902" t="s">
        <v>391</v>
      </c>
      <c r="D9" s="871"/>
      <c r="E9" s="657">
        <f>'FY 19'!G9</f>
        <v>306</v>
      </c>
      <c r="F9" s="510">
        <v>160</v>
      </c>
      <c r="G9" s="653">
        <f t="shared" si="0"/>
        <v>205</v>
      </c>
      <c r="H9" s="511">
        <v>12</v>
      </c>
      <c r="I9" s="512">
        <v>12</v>
      </c>
      <c r="J9" s="696">
        <v>29</v>
      </c>
      <c r="K9" s="512">
        <v>18</v>
      </c>
      <c r="L9" s="512">
        <v>13</v>
      </c>
      <c r="M9" s="512">
        <v>16</v>
      </c>
      <c r="N9" s="512">
        <v>12</v>
      </c>
      <c r="O9" s="512">
        <v>17</v>
      </c>
      <c r="P9" s="512">
        <v>15</v>
      </c>
      <c r="Q9" s="512">
        <v>18</v>
      </c>
      <c r="R9" s="512">
        <v>23</v>
      </c>
      <c r="S9" s="513">
        <v>20</v>
      </c>
    </row>
    <row r="10" spans="1:21" ht="15" customHeight="1" x14ac:dyDescent="0.25">
      <c r="A10" s="516"/>
      <c r="B10" s="760" t="s">
        <v>275</v>
      </c>
      <c r="C10" s="902" t="s">
        <v>391</v>
      </c>
      <c r="D10" s="874"/>
      <c r="E10" s="657">
        <f>'FY 19'!G10</f>
        <v>0</v>
      </c>
      <c r="F10" s="510">
        <v>0</v>
      </c>
      <c r="G10" s="653">
        <f t="shared" si="0"/>
        <v>0</v>
      </c>
      <c r="H10" s="511" t="s">
        <v>397</v>
      </c>
      <c r="I10" s="511" t="s">
        <v>397</v>
      </c>
      <c r="J10" s="511" t="s">
        <v>397</v>
      </c>
      <c r="K10" s="511" t="s">
        <v>397</v>
      </c>
      <c r="L10" s="511" t="s">
        <v>397</v>
      </c>
      <c r="M10" s="511" t="s">
        <v>397</v>
      </c>
      <c r="N10" s="511" t="s">
        <v>397</v>
      </c>
      <c r="O10" s="511" t="s">
        <v>397</v>
      </c>
      <c r="P10" s="511" t="s">
        <v>397</v>
      </c>
      <c r="Q10" s="511" t="s">
        <v>397</v>
      </c>
      <c r="R10" s="511" t="s">
        <v>397</v>
      </c>
      <c r="S10" s="511" t="s">
        <v>397</v>
      </c>
    </row>
    <row r="11" spans="1:21" ht="15" customHeight="1" x14ac:dyDescent="0.25">
      <c r="A11" s="516"/>
      <c r="B11" s="522" t="s">
        <v>285</v>
      </c>
      <c r="C11" s="902" t="s">
        <v>391</v>
      </c>
      <c r="D11" s="873"/>
      <c r="E11" s="657">
        <f>'FY 19'!G11</f>
        <v>1279</v>
      </c>
      <c r="F11" s="510">
        <v>849</v>
      </c>
      <c r="G11" s="653">
        <f t="shared" si="0"/>
        <v>1188</v>
      </c>
      <c r="H11" s="511">
        <v>82</v>
      </c>
      <c r="I11" s="512">
        <v>88</v>
      </c>
      <c r="J11" s="512">
        <v>96</v>
      </c>
      <c r="K11" s="512">
        <v>100</v>
      </c>
      <c r="L11" s="512">
        <v>117</v>
      </c>
      <c r="M11" s="512">
        <v>101</v>
      </c>
      <c r="N11" s="512">
        <v>94</v>
      </c>
      <c r="O11" s="512">
        <v>87</v>
      </c>
      <c r="P11" s="512">
        <v>125</v>
      </c>
      <c r="Q11" s="512">
        <v>104</v>
      </c>
      <c r="R11" s="512">
        <v>101</v>
      </c>
      <c r="S11" s="513">
        <v>93</v>
      </c>
    </row>
    <row r="12" spans="1:21" ht="11.25" customHeight="1" x14ac:dyDescent="0.25">
      <c r="A12" s="516"/>
      <c r="B12" s="761" t="s">
        <v>276</v>
      </c>
      <c r="C12" s="902" t="s">
        <v>391</v>
      </c>
      <c r="D12" s="872"/>
      <c r="E12" s="657">
        <f>'FY 19'!G12</f>
        <v>0</v>
      </c>
      <c r="F12" s="683">
        <v>0</v>
      </c>
      <c r="G12" s="653">
        <f t="shared" si="0"/>
        <v>0</v>
      </c>
      <c r="H12" s="665" t="s">
        <v>397</v>
      </c>
      <c r="I12" s="665" t="s">
        <v>397</v>
      </c>
      <c r="J12" s="665" t="s">
        <v>397</v>
      </c>
      <c r="K12" s="665" t="s">
        <v>397</v>
      </c>
      <c r="L12" s="665" t="s">
        <v>397</v>
      </c>
      <c r="M12" s="665" t="s">
        <v>397</v>
      </c>
      <c r="N12" s="665" t="s">
        <v>397</v>
      </c>
      <c r="O12" s="665" t="s">
        <v>397</v>
      </c>
      <c r="P12" s="665" t="s">
        <v>397</v>
      </c>
      <c r="Q12" s="665" t="s">
        <v>397</v>
      </c>
      <c r="R12" s="665" t="s">
        <v>397</v>
      </c>
      <c r="S12" s="665" t="s">
        <v>397</v>
      </c>
      <c r="U12" s="933"/>
    </row>
    <row r="13" spans="1:21" ht="15" hidden="1" customHeight="1" x14ac:dyDescent="0.25">
      <c r="A13" s="516"/>
      <c r="B13" s="1079" t="s">
        <v>19</v>
      </c>
      <c r="C13" s="1080"/>
      <c r="D13" s="1080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2"/>
      <c r="U13" s="933"/>
    </row>
    <row r="14" spans="1:21" ht="12.75" hidden="1" customHeight="1" x14ac:dyDescent="0.25">
      <c r="A14" s="516"/>
      <c r="B14" s="777" t="s">
        <v>375</v>
      </c>
      <c r="C14" s="750"/>
      <c r="E14" s="778"/>
      <c r="F14" s="779"/>
      <c r="G14" s="785"/>
      <c r="H14" s="780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3"/>
      <c r="U14" s="933"/>
    </row>
    <row r="15" spans="1:21" ht="12.75" hidden="1" customHeight="1" x14ac:dyDescent="0.25">
      <c r="A15" s="516"/>
      <c r="B15" s="784" t="s">
        <v>22</v>
      </c>
      <c r="C15" s="907"/>
      <c r="E15" s="778"/>
      <c r="F15" s="779"/>
      <c r="G15" s="786"/>
      <c r="H15" s="511"/>
      <c r="I15" s="512">
        <v>117</v>
      </c>
      <c r="J15" s="512"/>
      <c r="K15" s="512"/>
      <c r="L15" s="512"/>
      <c r="M15" s="512"/>
      <c r="N15" s="512"/>
      <c r="O15" s="512"/>
      <c r="P15" s="512"/>
      <c r="Q15" s="512"/>
      <c r="R15" s="512"/>
      <c r="S15" s="513"/>
      <c r="U15" s="933"/>
    </row>
    <row r="16" spans="1:21" hidden="1" x14ac:dyDescent="0.25">
      <c r="A16" s="516"/>
      <c r="B16" s="784" t="s">
        <v>23</v>
      </c>
      <c r="C16" s="907"/>
      <c r="E16" s="778"/>
      <c r="F16" s="779"/>
      <c r="G16" s="781"/>
      <c r="H16" s="511"/>
      <c r="I16" s="512">
        <v>93</v>
      </c>
      <c r="J16" s="512"/>
      <c r="K16" s="512"/>
      <c r="L16" s="512"/>
      <c r="M16" s="512"/>
      <c r="N16" s="512"/>
      <c r="O16" s="512"/>
      <c r="P16" s="512"/>
      <c r="Q16" s="512"/>
      <c r="R16" s="512"/>
      <c r="S16" s="513"/>
    </row>
    <row r="17" spans="1:19" hidden="1" x14ac:dyDescent="0.25">
      <c r="A17" s="516"/>
      <c r="B17" s="784" t="s">
        <v>199</v>
      </c>
      <c r="C17" s="907"/>
      <c r="E17" s="778"/>
      <c r="F17" s="779"/>
      <c r="G17" s="787"/>
      <c r="H17" s="511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3"/>
    </row>
    <row r="18" spans="1:19" hidden="1" x14ac:dyDescent="0.25">
      <c r="A18" s="516"/>
      <c r="B18" s="782" t="s">
        <v>376</v>
      </c>
      <c r="C18" s="750"/>
      <c r="E18" s="778"/>
      <c r="F18" s="779"/>
      <c r="G18" s="510"/>
      <c r="H18" s="519"/>
      <c r="I18" s="520"/>
      <c r="J18" s="520"/>
      <c r="K18" s="520"/>
      <c r="L18" s="520"/>
      <c r="M18" s="520"/>
      <c r="N18" s="520"/>
      <c r="O18" s="520"/>
      <c r="P18" s="520"/>
      <c r="Q18" s="520"/>
      <c r="R18" s="520"/>
      <c r="S18" s="521"/>
    </row>
    <row r="19" spans="1:19" hidden="1" x14ac:dyDescent="0.25">
      <c r="A19" s="516"/>
      <c r="B19" s="782" t="s">
        <v>377</v>
      </c>
      <c r="C19" s="750"/>
      <c r="E19" s="778"/>
      <c r="F19" s="779"/>
      <c r="G19" s="523"/>
      <c r="H19" s="519"/>
      <c r="I19" s="520"/>
      <c r="J19" s="520"/>
      <c r="K19" s="520"/>
      <c r="L19" s="520"/>
      <c r="M19" s="520"/>
      <c r="N19" s="520"/>
      <c r="O19" s="520"/>
      <c r="P19" s="520"/>
      <c r="Q19" s="520"/>
      <c r="R19" s="520"/>
      <c r="S19" s="521"/>
    </row>
    <row r="20" spans="1:19" hidden="1" x14ac:dyDescent="0.25">
      <c r="A20" s="516"/>
      <c r="B20" s="782" t="s">
        <v>378</v>
      </c>
      <c r="C20" s="750"/>
      <c r="E20" s="778"/>
      <c r="F20" s="779"/>
      <c r="G20" s="523"/>
      <c r="H20" s="519"/>
      <c r="I20" s="520"/>
      <c r="J20" s="520"/>
      <c r="K20" s="520"/>
      <c r="L20" s="520"/>
      <c r="M20" s="520"/>
      <c r="N20" s="520"/>
      <c r="O20" s="520"/>
      <c r="P20" s="520"/>
      <c r="Q20" s="520"/>
      <c r="R20" s="520"/>
      <c r="S20" s="521"/>
    </row>
    <row r="21" spans="1:19" ht="37.5" hidden="1" customHeight="1" x14ac:dyDescent="0.25">
      <c r="A21" s="516"/>
      <c r="B21" s="782" t="s">
        <v>379</v>
      </c>
      <c r="C21" s="750"/>
      <c r="E21" s="778"/>
      <c r="F21" s="779"/>
      <c r="G21" s="523"/>
      <c r="H21" s="519"/>
      <c r="I21" s="520"/>
      <c r="J21" s="520"/>
      <c r="K21" s="520"/>
      <c r="L21" s="520"/>
      <c r="M21" s="520"/>
      <c r="N21" s="520"/>
      <c r="O21" s="520"/>
      <c r="P21" s="520"/>
      <c r="Q21" s="520"/>
      <c r="R21" s="520"/>
      <c r="S21" s="521"/>
    </row>
    <row r="22" spans="1:19" ht="40.5" hidden="1" customHeight="1" x14ac:dyDescent="0.25">
      <c r="A22" s="516"/>
      <c r="B22" s="782" t="s">
        <v>380</v>
      </c>
      <c r="C22" s="750"/>
      <c r="E22" s="778"/>
      <c r="F22" s="779"/>
      <c r="G22" s="523"/>
      <c r="H22" s="519"/>
      <c r="I22" s="520"/>
      <c r="J22" s="520"/>
      <c r="K22" s="520"/>
      <c r="L22" s="520"/>
      <c r="M22" s="520"/>
      <c r="N22" s="520"/>
      <c r="O22" s="520"/>
      <c r="P22" s="520"/>
      <c r="Q22" s="520"/>
      <c r="R22" s="520"/>
      <c r="S22" s="521"/>
    </row>
    <row r="23" spans="1:19" ht="36.75" hidden="1" customHeight="1" x14ac:dyDescent="0.25">
      <c r="A23" s="516"/>
      <c r="B23" s="783" t="s">
        <v>381</v>
      </c>
      <c r="C23" s="908"/>
      <c r="D23" s="876"/>
      <c r="E23" s="778"/>
      <c r="F23" s="779"/>
      <c r="G23" s="515"/>
      <c r="H23" s="524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6"/>
    </row>
    <row r="24" spans="1:19" s="655" customFormat="1" ht="15.95" customHeight="1" x14ac:dyDescent="0.25">
      <c r="A24" s="654"/>
      <c r="B24" s="1079" t="s">
        <v>293</v>
      </c>
      <c r="C24" s="1080"/>
      <c r="D24" s="1080"/>
      <c r="E24" s="1080"/>
      <c r="F24" s="1080"/>
      <c r="G24" s="1080"/>
      <c r="H24" s="1080"/>
      <c r="I24" s="1080"/>
      <c r="J24" s="1080"/>
      <c r="K24" s="1080"/>
      <c r="L24" s="1080"/>
      <c r="M24" s="1080"/>
      <c r="N24" s="1080"/>
      <c r="O24" s="1080"/>
      <c r="P24" s="1080"/>
      <c r="Q24" s="1080"/>
      <c r="R24" s="1080"/>
      <c r="S24" s="1081"/>
    </row>
    <row r="25" spans="1:19" ht="15" customHeight="1" x14ac:dyDescent="0.25">
      <c r="A25" s="516"/>
      <c r="B25" s="509" t="s">
        <v>277</v>
      </c>
      <c r="C25" s="750" t="s">
        <v>392</v>
      </c>
      <c r="E25" s="717">
        <v>0</v>
      </c>
      <c r="F25" s="718">
        <v>3435</v>
      </c>
      <c r="G25" s="722">
        <f t="shared" ref="G25:G35" si="1">SUM(H25:S25)</f>
        <v>3745</v>
      </c>
      <c r="H25" s="511">
        <v>315</v>
      </c>
      <c r="I25" s="512">
        <v>315</v>
      </c>
      <c r="J25" s="512">
        <v>316</v>
      </c>
      <c r="K25" s="512">
        <v>306</v>
      </c>
      <c r="L25" s="512">
        <v>308</v>
      </c>
      <c r="M25" s="512">
        <v>310</v>
      </c>
      <c r="N25" s="512">
        <v>320</v>
      </c>
      <c r="O25" s="512">
        <v>317</v>
      </c>
      <c r="P25" s="512">
        <v>306</v>
      </c>
      <c r="Q25" s="512">
        <v>303</v>
      </c>
      <c r="R25" s="512">
        <v>310</v>
      </c>
      <c r="S25" s="527">
        <v>319</v>
      </c>
    </row>
    <row r="26" spans="1:19" ht="15" customHeight="1" x14ac:dyDescent="0.25">
      <c r="A26" s="516"/>
      <c r="B26" s="762" t="s">
        <v>22</v>
      </c>
      <c r="C26" s="750" t="s">
        <v>392</v>
      </c>
      <c r="E26" s="719">
        <v>0</v>
      </c>
      <c r="F26" s="720">
        <v>1807</v>
      </c>
      <c r="G26" s="723">
        <f t="shared" si="1"/>
        <v>1993</v>
      </c>
      <c r="H26" s="511">
        <v>164</v>
      </c>
      <c r="I26" s="512">
        <v>166</v>
      </c>
      <c r="J26" s="512">
        <v>168</v>
      </c>
      <c r="K26" s="512">
        <v>163</v>
      </c>
      <c r="L26" s="512">
        <v>162</v>
      </c>
      <c r="M26" s="512">
        <v>163</v>
      </c>
      <c r="N26" s="512">
        <v>169</v>
      </c>
      <c r="O26" s="512">
        <v>170</v>
      </c>
      <c r="P26" s="512">
        <v>165</v>
      </c>
      <c r="Q26" s="512">
        <v>163</v>
      </c>
      <c r="R26" s="512">
        <v>167</v>
      </c>
      <c r="S26" s="527">
        <v>173</v>
      </c>
    </row>
    <row r="27" spans="1:19" ht="15" customHeight="1" x14ac:dyDescent="0.25">
      <c r="A27" s="516"/>
      <c r="B27" s="762" t="s">
        <v>23</v>
      </c>
      <c r="C27" s="750" t="s">
        <v>392</v>
      </c>
      <c r="E27" s="719">
        <v>0</v>
      </c>
      <c r="F27" s="720">
        <v>1664</v>
      </c>
      <c r="G27" s="723">
        <f t="shared" si="1"/>
        <v>1752</v>
      </c>
      <c r="H27" s="511">
        <v>151</v>
      </c>
      <c r="I27" s="512">
        <v>149</v>
      </c>
      <c r="J27" s="512">
        <v>148</v>
      </c>
      <c r="K27" s="512">
        <v>143</v>
      </c>
      <c r="L27" s="512">
        <v>146</v>
      </c>
      <c r="M27" s="512">
        <v>147</v>
      </c>
      <c r="N27" s="512">
        <v>151</v>
      </c>
      <c r="O27" s="512">
        <v>147</v>
      </c>
      <c r="P27" s="512">
        <v>141</v>
      </c>
      <c r="Q27" s="512">
        <v>140</v>
      </c>
      <c r="R27" s="512">
        <v>143</v>
      </c>
      <c r="S27" s="527">
        <v>146</v>
      </c>
    </row>
    <row r="28" spans="1:19" ht="15" customHeight="1" x14ac:dyDescent="0.25">
      <c r="A28" s="516"/>
      <c r="B28" s="762" t="s">
        <v>398</v>
      </c>
      <c r="C28" s="750"/>
      <c r="E28" s="719"/>
      <c r="F28" s="720"/>
      <c r="G28" s="723"/>
      <c r="H28" s="511">
        <v>246</v>
      </c>
      <c r="I28" s="512">
        <v>247</v>
      </c>
      <c r="J28" s="512">
        <v>250</v>
      </c>
      <c r="K28" s="512">
        <v>242</v>
      </c>
      <c r="L28" s="512">
        <v>244</v>
      </c>
      <c r="M28" s="512">
        <v>248</v>
      </c>
      <c r="N28" s="512">
        <v>255</v>
      </c>
      <c r="O28" s="512">
        <v>254</v>
      </c>
      <c r="P28" s="512">
        <v>244</v>
      </c>
      <c r="Q28" s="512">
        <v>244</v>
      </c>
      <c r="R28" s="512">
        <v>247</v>
      </c>
      <c r="S28" s="527">
        <v>258</v>
      </c>
    </row>
    <row r="29" spans="1:19" ht="15" customHeight="1" x14ac:dyDescent="0.25">
      <c r="A29" s="516"/>
      <c r="B29" s="762" t="s">
        <v>399</v>
      </c>
      <c r="C29" s="750"/>
      <c r="E29" s="719"/>
      <c r="F29" s="720"/>
      <c r="G29" s="723"/>
      <c r="H29" s="511">
        <v>31</v>
      </c>
      <c r="I29" s="512">
        <v>30</v>
      </c>
      <c r="J29" s="512">
        <v>28</v>
      </c>
      <c r="K29" s="512">
        <v>29</v>
      </c>
      <c r="L29" s="512">
        <v>28</v>
      </c>
      <c r="M29" s="512">
        <v>31</v>
      </c>
      <c r="N29" s="512">
        <v>31</v>
      </c>
      <c r="O29" s="512">
        <v>31</v>
      </c>
      <c r="P29" s="512">
        <v>30</v>
      </c>
      <c r="Q29" s="512">
        <v>28</v>
      </c>
      <c r="R29" s="696">
        <v>27</v>
      </c>
      <c r="S29" s="527">
        <v>28</v>
      </c>
    </row>
    <row r="30" spans="1:19" ht="15" customHeight="1" x14ac:dyDescent="0.25">
      <c r="A30" s="516"/>
      <c r="B30" s="762" t="s">
        <v>401</v>
      </c>
      <c r="C30" s="750"/>
      <c r="E30" s="719"/>
      <c r="F30" s="720"/>
      <c r="G30" s="723"/>
      <c r="H30" s="511">
        <v>32</v>
      </c>
      <c r="I30" s="512">
        <v>32</v>
      </c>
      <c r="J30" s="512">
        <v>32</v>
      </c>
      <c r="K30" s="512">
        <v>29</v>
      </c>
      <c r="L30" s="512">
        <v>30</v>
      </c>
      <c r="M30" s="512">
        <v>25</v>
      </c>
      <c r="N30" s="512">
        <v>26</v>
      </c>
      <c r="O30" s="512">
        <v>24</v>
      </c>
      <c r="P30" s="512">
        <v>24</v>
      </c>
      <c r="Q30" s="512">
        <v>23</v>
      </c>
      <c r="R30" s="512">
        <v>28</v>
      </c>
      <c r="S30" s="527">
        <v>25</v>
      </c>
    </row>
    <row r="31" spans="1:19" ht="15" customHeight="1" x14ac:dyDescent="0.25">
      <c r="A31" s="516"/>
      <c r="B31" s="762" t="s">
        <v>400</v>
      </c>
      <c r="C31" s="750"/>
      <c r="E31" s="719"/>
      <c r="F31" s="720"/>
      <c r="G31" s="723"/>
      <c r="H31" s="511">
        <v>6</v>
      </c>
      <c r="I31" s="512">
        <v>6</v>
      </c>
      <c r="J31" s="512">
        <v>6</v>
      </c>
      <c r="K31" s="512">
        <v>6</v>
      </c>
      <c r="L31" s="512">
        <v>6</v>
      </c>
      <c r="M31" s="512">
        <v>6</v>
      </c>
      <c r="N31" s="512">
        <v>8</v>
      </c>
      <c r="O31" s="512">
        <v>8</v>
      </c>
      <c r="P31" s="512">
        <v>8</v>
      </c>
      <c r="Q31" s="512">
        <v>8</v>
      </c>
      <c r="R31" s="512">
        <v>8</v>
      </c>
      <c r="S31" s="527">
        <v>8</v>
      </c>
    </row>
    <row r="32" spans="1:19" ht="15" customHeight="1" x14ac:dyDescent="0.25">
      <c r="A32" s="516"/>
      <c r="B32" s="762" t="s">
        <v>278</v>
      </c>
      <c r="C32" s="750" t="s">
        <v>392</v>
      </c>
      <c r="E32" s="719">
        <v>0</v>
      </c>
      <c r="F32" s="720">
        <v>1429</v>
      </c>
      <c r="G32" s="723">
        <f t="shared" si="1"/>
        <v>1050</v>
      </c>
      <c r="H32" s="511">
        <v>80</v>
      </c>
      <c r="I32" s="512">
        <v>78</v>
      </c>
      <c r="J32" s="512">
        <v>77</v>
      </c>
      <c r="K32" s="512">
        <v>82</v>
      </c>
      <c r="L32" s="512">
        <v>85</v>
      </c>
      <c r="M32" s="512">
        <v>95</v>
      </c>
      <c r="N32" s="512">
        <v>98</v>
      </c>
      <c r="O32" s="512">
        <v>96</v>
      </c>
      <c r="P32" s="512">
        <v>88</v>
      </c>
      <c r="Q32" s="512">
        <v>87</v>
      </c>
      <c r="R32" s="512">
        <v>92</v>
      </c>
      <c r="S32" s="527">
        <v>92</v>
      </c>
    </row>
    <row r="33" spans="1:19" ht="15" customHeight="1" x14ac:dyDescent="0.25">
      <c r="A33" s="516"/>
      <c r="B33" s="762" t="s">
        <v>279</v>
      </c>
      <c r="C33" s="750" t="s">
        <v>392</v>
      </c>
      <c r="E33" s="719">
        <v>0</v>
      </c>
      <c r="F33" s="720">
        <v>949</v>
      </c>
      <c r="G33" s="723">
        <f t="shared" si="1"/>
        <v>915</v>
      </c>
      <c r="H33" s="511">
        <v>88</v>
      </c>
      <c r="I33" s="512">
        <v>88</v>
      </c>
      <c r="J33" s="512">
        <v>90</v>
      </c>
      <c r="K33" s="512">
        <v>82</v>
      </c>
      <c r="L33" s="512">
        <v>82</v>
      </c>
      <c r="M33" s="512">
        <v>78</v>
      </c>
      <c r="N33" s="512">
        <v>68</v>
      </c>
      <c r="O33" s="512">
        <v>64</v>
      </c>
      <c r="P33" s="512">
        <v>70</v>
      </c>
      <c r="Q33" s="512">
        <v>70</v>
      </c>
      <c r="R33" s="512">
        <v>64</v>
      </c>
      <c r="S33" s="527">
        <v>71</v>
      </c>
    </row>
    <row r="34" spans="1:19" ht="15" customHeight="1" x14ac:dyDescent="0.25">
      <c r="A34" s="516"/>
      <c r="B34" s="762" t="s">
        <v>280</v>
      </c>
      <c r="C34" s="750" t="s">
        <v>392</v>
      </c>
      <c r="E34" s="719">
        <v>0</v>
      </c>
      <c r="F34" s="720">
        <v>1093</v>
      </c>
      <c r="G34" s="723">
        <f t="shared" si="1"/>
        <v>1780</v>
      </c>
      <c r="H34" s="511">
        <v>147</v>
      </c>
      <c r="I34" s="512">
        <v>149</v>
      </c>
      <c r="J34" s="512">
        <v>149</v>
      </c>
      <c r="K34" s="512">
        <v>142</v>
      </c>
      <c r="L34" s="512">
        <v>141</v>
      </c>
      <c r="M34" s="512">
        <v>137</v>
      </c>
      <c r="N34" s="512">
        <v>154</v>
      </c>
      <c r="O34" s="512">
        <v>157</v>
      </c>
      <c r="P34" s="512">
        <v>148</v>
      </c>
      <c r="Q34" s="512">
        <v>146</v>
      </c>
      <c r="R34" s="512">
        <v>154</v>
      </c>
      <c r="S34" s="527">
        <v>156</v>
      </c>
    </row>
    <row r="35" spans="1:19" ht="15" customHeight="1" x14ac:dyDescent="0.25">
      <c r="A35" s="516"/>
      <c r="B35" s="528" t="s">
        <v>287</v>
      </c>
      <c r="C35" s="750" t="s">
        <v>392</v>
      </c>
      <c r="D35" s="876"/>
      <c r="E35" s="719">
        <v>0</v>
      </c>
      <c r="F35" s="720">
        <v>211</v>
      </c>
      <c r="G35" s="723">
        <f t="shared" si="1"/>
        <v>528</v>
      </c>
      <c r="H35" s="511">
        <v>44</v>
      </c>
      <c r="I35" s="512">
        <v>43</v>
      </c>
      <c r="J35" s="512">
        <v>44</v>
      </c>
      <c r="K35" s="512">
        <v>45</v>
      </c>
      <c r="L35" s="512">
        <v>42</v>
      </c>
      <c r="M35" s="512">
        <v>40</v>
      </c>
      <c r="N35" s="512">
        <v>38</v>
      </c>
      <c r="O35" s="512">
        <v>40</v>
      </c>
      <c r="P35" s="512">
        <v>41</v>
      </c>
      <c r="Q35" s="512">
        <v>42</v>
      </c>
      <c r="R35" s="512">
        <v>54</v>
      </c>
      <c r="S35" s="527">
        <v>55</v>
      </c>
    </row>
    <row r="36" spans="1:19" ht="15" customHeight="1" x14ac:dyDescent="0.25">
      <c r="A36" s="516"/>
      <c r="B36" s="522" t="s">
        <v>288</v>
      </c>
      <c r="C36" s="750" t="s">
        <v>392</v>
      </c>
      <c r="E36" s="719">
        <v>0</v>
      </c>
      <c r="F36" s="720">
        <v>212</v>
      </c>
      <c r="G36" s="723">
        <f t="shared" ref="G36:G43" si="2">SUM(H36:S36)</f>
        <v>97</v>
      </c>
      <c r="H36" s="511">
        <v>6</v>
      </c>
      <c r="I36" s="512">
        <v>2</v>
      </c>
      <c r="J36" s="512">
        <v>9</v>
      </c>
      <c r="K36" s="561">
        <v>8</v>
      </c>
      <c r="L36" s="512">
        <v>9</v>
      </c>
      <c r="M36" s="512">
        <v>12</v>
      </c>
      <c r="N36" s="512">
        <v>12</v>
      </c>
      <c r="O36" s="512">
        <v>4</v>
      </c>
      <c r="P36" s="512">
        <v>9</v>
      </c>
      <c r="Q36" s="512">
        <v>6</v>
      </c>
      <c r="R36" s="512">
        <v>7</v>
      </c>
      <c r="S36" s="527">
        <v>13</v>
      </c>
    </row>
    <row r="37" spans="1:19" ht="15" customHeight="1" x14ac:dyDescent="0.25">
      <c r="A37" s="516"/>
      <c r="B37" s="522" t="s">
        <v>289</v>
      </c>
      <c r="C37" s="750" t="s">
        <v>392</v>
      </c>
      <c r="E37" s="719">
        <v>0</v>
      </c>
      <c r="F37" s="720">
        <v>213</v>
      </c>
      <c r="G37" s="723">
        <f t="shared" si="2"/>
        <v>84</v>
      </c>
      <c r="H37" s="511">
        <v>7</v>
      </c>
      <c r="I37" s="512">
        <v>4</v>
      </c>
      <c r="J37" s="512">
        <v>6</v>
      </c>
      <c r="K37" s="561">
        <v>11</v>
      </c>
      <c r="L37" s="512">
        <v>5</v>
      </c>
      <c r="M37" s="512">
        <v>12</v>
      </c>
      <c r="N37" s="512">
        <v>2</v>
      </c>
      <c r="O37" s="512">
        <v>5</v>
      </c>
      <c r="P37" s="512">
        <v>15</v>
      </c>
      <c r="Q37" s="512">
        <v>14</v>
      </c>
      <c r="R37" s="512">
        <v>0</v>
      </c>
      <c r="S37" s="527">
        <v>3</v>
      </c>
    </row>
    <row r="38" spans="1:19" ht="15" customHeight="1" x14ac:dyDescent="0.25">
      <c r="A38" s="516"/>
      <c r="B38" s="762" t="s">
        <v>113</v>
      </c>
      <c r="C38" s="750" t="s">
        <v>392</v>
      </c>
      <c r="E38" s="719">
        <v>0</v>
      </c>
      <c r="F38" s="720">
        <v>214</v>
      </c>
      <c r="G38" s="723">
        <f t="shared" si="2"/>
        <v>28</v>
      </c>
      <c r="H38" s="511">
        <v>0</v>
      </c>
      <c r="I38" s="531">
        <v>0</v>
      </c>
      <c r="J38" s="531">
        <v>0</v>
      </c>
      <c r="K38" s="859">
        <v>5</v>
      </c>
      <c r="L38" s="531">
        <v>0</v>
      </c>
      <c r="M38" s="531">
        <v>8</v>
      </c>
      <c r="N38" s="531">
        <v>0</v>
      </c>
      <c r="O38" s="531">
        <v>0</v>
      </c>
      <c r="P38" s="531">
        <v>4</v>
      </c>
      <c r="Q38" s="531">
        <v>9</v>
      </c>
      <c r="R38" s="512">
        <v>0</v>
      </c>
      <c r="S38" s="532">
        <v>2</v>
      </c>
    </row>
    <row r="39" spans="1:19" ht="15" customHeight="1" x14ac:dyDescent="0.25">
      <c r="A39" s="516"/>
      <c r="B39" s="762" t="s">
        <v>139</v>
      </c>
      <c r="C39" s="750" t="s">
        <v>392</v>
      </c>
      <c r="E39" s="719">
        <v>0</v>
      </c>
      <c r="F39" s="720">
        <v>215</v>
      </c>
      <c r="G39" s="723">
        <f t="shared" si="2"/>
        <v>2</v>
      </c>
      <c r="H39" s="511">
        <v>0</v>
      </c>
      <c r="I39" s="531">
        <v>0</v>
      </c>
      <c r="J39" s="531">
        <v>0</v>
      </c>
      <c r="K39" s="859">
        <v>1</v>
      </c>
      <c r="L39" s="531">
        <v>0</v>
      </c>
      <c r="M39" s="531">
        <v>0</v>
      </c>
      <c r="N39" s="531">
        <v>0</v>
      </c>
      <c r="O39" s="531">
        <v>0</v>
      </c>
      <c r="P39" s="531">
        <v>1</v>
      </c>
      <c r="Q39" s="531">
        <v>0</v>
      </c>
      <c r="R39" s="512">
        <v>0</v>
      </c>
      <c r="S39" s="532">
        <v>0</v>
      </c>
    </row>
    <row r="40" spans="1:19" ht="15" customHeight="1" x14ac:dyDescent="0.25">
      <c r="A40" s="516"/>
      <c r="B40" s="762" t="s">
        <v>114</v>
      </c>
      <c r="C40" s="750" t="s">
        <v>392</v>
      </c>
      <c r="E40" s="719">
        <v>0</v>
      </c>
      <c r="F40" s="720">
        <v>216</v>
      </c>
      <c r="G40" s="723">
        <f t="shared" si="2"/>
        <v>9</v>
      </c>
      <c r="H40" s="511">
        <v>1</v>
      </c>
      <c r="I40" s="531">
        <v>1</v>
      </c>
      <c r="J40" s="531">
        <v>0</v>
      </c>
      <c r="K40" s="859">
        <v>0</v>
      </c>
      <c r="L40" s="531">
        <v>0</v>
      </c>
      <c r="M40" s="531">
        <v>1</v>
      </c>
      <c r="N40" s="531">
        <v>0</v>
      </c>
      <c r="O40" s="531">
        <v>2</v>
      </c>
      <c r="P40" s="531">
        <v>2</v>
      </c>
      <c r="Q40" s="531">
        <v>1</v>
      </c>
      <c r="R40" s="512">
        <v>0</v>
      </c>
      <c r="S40" s="532">
        <v>1</v>
      </c>
    </row>
    <row r="41" spans="1:19" ht="15" customHeight="1" x14ac:dyDescent="0.25">
      <c r="A41" s="516"/>
      <c r="B41" s="762" t="s">
        <v>115</v>
      </c>
      <c r="C41" s="750" t="s">
        <v>392</v>
      </c>
      <c r="E41" s="719">
        <v>0</v>
      </c>
      <c r="F41" s="720">
        <v>217</v>
      </c>
      <c r="G41" s="723">
        <f t="shared" si="2"/>
        <v>27</v>
      </c>
      <c r="H41" s="511">
        <v>5</v>
      </c>
      <c r="I41" s="531">
        <v>3</v>
      </c>
      <c r="J41" s="531">
        <v>4</v>
      </c>
      <c r="K41" s="859">
        <v>3</v>
      </c>
      <c r="L41" s="531">
        <v>4</v>
      </c>
      <c r="M41" s="531">
        <v>1</v>
      </c>
      <c r="N41" s="531">
        <v>1</v>
      </c>
      <c r="O41" s="531">
        <v>1</v>
      </c>
      <c r="P41" s="531">
        <v>3</v>
      </c>
      <c r="Q41" s="531">
        <v>2</v>
      </c>
      <c r="R41" s="512">
        <v>0</v>
      </c>
      <c r="S41" s="532">
        <v>0</v>
      </c>
    </row>
    <row r="42" spans="1:19" ht="15" customHeight="1" x14ac:dyDescent="0.25">
      <c r="A42" s="516"/>
      <c r="B42" s="762" t="s">
        <v>290</v>
      </c>
      <c r="C42" s="750" t="s">
        <v>392</v>
      </c>
      <c r="E42" s="719">
        <v>0</v>
      </c>
      <c r="F42" s="720">
        <v>218</v>
      </c>
      <c r="G42" s="723">
        <f t="shared" si="2"/>
        <v>16</v>
      </c>
      <c r="H42" s="511">
        <v>1</v>
      </c>
      <c r="I42" s="531">
        <v>1</v>
      </c>
      <c r="J42" s="531">
        <v>1</v>
      </c>
      <c r="K42" s="859">
        <v>2</v>
      </c>
      <c r="L42" s="531">
        <v>0</v>
      </c>
      <c r="M42" s="531">
        <v>2</v>
      </c>
      <c r="N42" s="531">
        <v>1</v>
      </c>
      <c r="O42" s="531">
        <v>2</v>
      </c>
      <c r="P42" s="531">
        <v>5</v>
      </c>
      <c r="Q42" s="531">
        <v>1</v>
      </c>
      <c r="R42" s="512">
        <v>0</v>
      </c>
      <c r="S42" s="532">
        <v>0</v>
      </c>
    </row>
    <row r="43" spans="1:19" ht="15" customHeight="1" x14ac:dyDescent="0.25">
      <c r="A43" s="516"/>
      <c r="B43" s="761" t="s">
        <v>281</v>
      </c>
      <c r="C43" s="750" t="s">
        <v>392</v>
      </c>
      <c r="D43" s="877"/>
      <c r="E43" s="721">
        <v>0</v>
      </c>
      <c r="F43" s="720">
        <v>219</v>
      </c>
      <c r="G43" s="723">
        <f t="shared" si="2"/>
        <v>12</v>
      </c>
      <c r="H43" s="665">
        <v>0</v>
      </c>
      <c r="I43" s="669">
        <v>0</v>
      </c>
      <c r="J43" s="669">
        <v>1</v>
      </c>
      <c r="K43" s="860">
        <v>0</v>
      </c>
      <c r="L43" s="669">
        <v>1</v>
      </c>
      <c r="M43" s="669">
        <v>0</v>
      </c>
      <c r="N43" s="669">
        <v>0</v>
      </c>
      <c r="O43" s="669">
        <v>0</v>
      </c>
      <c r="P43" s="669">
        <v>9</v>
      </c>
      <c r="Q43" s="669">
        <v>1</v>
      </c>
      <c r="R43" s="512">
        <v>0</v>
      </c>
      <c r="S43" s="560">
        <v>0</v>
      </c>
    </row>
    <row r="44" spans="1:19" s="655" customFormat="1" ht="15.95" customHeight="1" x14ac:dyDescent="0.25">
      <c r="A44" s="654"/>
      <c r="B44" s="1051" t="s">
        <v>292</v>
      </c>
      <c r="C44" s="1052"/>
      <c r="D44" s="1052"/>
      <c r="E44" s="1052"/>
      <c r="F44" s="1052"/>
      <c r="G44" s="1052"/>
      <c r="H44" s="1052"/>
      <c r="I44" s="1052"/>
      <c r="J44" s="1052"/>
      <c r="K44" s="1052"/>
      <c r="L44" s="1052"/>
      <c r="M44" s="1052"/>
      <c r="N44" s="1052"/>
      <c r="O44" s="1052"/>
      <c r="P44" s="1052"/>
      <c r="Q44" s="1052"/>
      <c r="R44" s="1052"/>
      <c r="S44" s="1053"/>
    </row>
    <row r="45" spans="1:19" ht="15" customHeight="1" x14ac:dyDescent="0.25">
      <c r="A45" s="516"/>
      <c r="B45" s="509" t="s">
        <v>291</v>
      </c>
      <c r="C45" s="902"/>
      <c r="D45" s="871"/>
      <c r="E45" s="662">
        <f>'FY 19'!G42</f>
        <v>4</v>
      </c>
      <c r="F45" s="529">
        <v>2</v>
      </c>
      <c r="G45" s="653">
        <f>SUM(H45:S45)</f>
        <v>5</v>
      </c>
      <c r="H45" s="511">
        <v>2</v>
      </c>
      <c r="I45" s="531">
        <v>0</v>
      </c>
      <c r="J45" s="531">
        <v>1</v>
      </c>
      <c r="K45" s="859">
        <v>0</v>
      </c>
      <c r="L45" s="531">
        <v>0</v>
      </c>
      <c r="M45" s="531">
        <v>0</v>
      </c>
      <c r="N45" s="531">
        <v>0</v>
      </c>
      <c r="O45" s="531">
        <v>1</v>
      </c>
      <c r="P45" s="531">
        <v>0</v>
      </c>
      <c r="Q45" s="531">
        <v>1</v>
      </c>
      <c r="R45" s="531">
        <v>0</v>
      </c>
      <c r="S45" s="532">
        <v>0</v>
      </c>
    </row>
    <row r="46" spans="1:19" ht="15" customHeight="1" x14ac:dyDescent="0.25">
      <c r="A46" s="516"/>
      <c r="B46" s="522" t="s">
        <v>294</v>
      </c>
      <c r="C46" s="904"/>
      <c r="D46" s="873"/>
      <c r="E46" s="662">
        <f>'FY 19'!G43</f>
        <v>21</v>
      </c>
      <c r="F46" s="517">
        <v>19</v>
      </c>
      <c r="G46" s="653">
        <f t="shared" ref="G46:G47" si="3">SUM(H46:S46)</f>
        <v>19</v>
      </c>
      <c r="H46" s="511">
        <v>3</v>
      </c>
      <c r="I46" s="531">
        <v>3</v>
      </c>
      <c r="J46" s="531">
        <v>3</v>
      </c>
      <c r="K46" s="859">
        <v>3</v>
      </c>
      <c r="L46" s="531">
        <v>0</v>
      </c>
      <c r="M46" s="531">
        <v>1</v>
      </c>
      <c r="N46" s="531">
        <v>1</v>
      </c>
      <c r="O46" s="531">
        <v>0</v>
      </c>
      <c r="P46" s="531">
        <v>3</v>
      </c>
      <c r="Q46" s="531">
        <v>2</v>
      </c>
      <c r="R46" s="531">
        <v>0</v>
      </c>
      <c r="S46" s="532">
        <v>0</v>
      </c>
    </row>
    <row r="47" spans="1:19" ht="15" customHeight="1" x14ac:dyDescent="0.25">
      <c r="A47" s="516"/>
      <c r="B47" s="522" t="s">
        <v>295</v>
      </c>
      <c r="C47" s="903"/>
      <c r="D47" s="872"/>
      <c r="E47" s="662">
        <f>'FY 19'!G44</f>
        <v>22</v>
      </c>
      <c r="F47" s="530">
        <v>17</v>
      </c>
      <c r="G47" s="653">
        <f t="shared" si="3"/>
        <v>14</v>
      </c>
      <c r="H47" s="511">
        <v>0</v>
      </c>
      <c r="I47" s="531">
        <v>3</v>
      </c>
      <c r="J47" s="531">
        <v>1</v>
      </c>
      <c r="K47" s="859">
        <v>1</v>
      </c>
      <c r="L47" s="531">
        <v>0</v>
      </c>
      <c r="M47" s="531">
        <v>2</v>
      </c>
      <c r="N47" s="531">
        <v>0</v>
      </c>
      <c r="O47" s="531">
        <v>0</v>
      </c>
      <c r="P47" s="531">
        <v>0</v>
      </c>
      <c r="Q47" s="531">
        <v>1</v>
      </c>
      <c r="R47" s="531">
        <v>5</v>
      </c>
      <c r="S47" s="532">
        <v>1</v>
      </c>
    </row>
    <row r="48" spans="1:19" ht="15" hidden="1" customHeight="1" x14ac:dyDescent="0.25">
      <c r="A48" s="516"/>
      <c r="B48" s="522" t="s">
        <v>29</v>
      </c>
      <c r="C48" s="750"/>
      <c r="E48" s="1076"/>
      <c r="F48" s="1077"/>
      <c r="G48" s="1078"/>
      <c r="H48" s="519">
        <v>28</v>
      </c>
      <c r="I48" s="520">
        <v>29</v>
      </c>
      <c r="J48" s="520">
        <v>30</v>
      </c>
      <c r="K48" s="505" t="s">
        <v>136</v>
      </c>
      <c r="L48" s="520">
        <v>36</v>
      </c>
      <c r="M48" s="520">
        <v>36</v>
      </c>
      <c r="N48" s="520">
        <v>38</v>
      </c>
      <c r="O48" s="520">
        <v>30</v>
      </c>
      <c r="P48" s="520">
        <v>30</v>
      </c>
      <c r="Q48" s="520"/>
      <c r="R48" s="520"/>
      <c r="S48" s="532"/>
    </row>
    <row r="49" spans="1:19" ht="15" hidden="1" customHeight="1" x14ac:dyDescent="0.25">
      <c r="A49" s="516"/>
      <c r="B49" s="522" t="s">
        <v>30</v>
      </c>
      <c r="C49" s="750"/>
      <c r="E49" s="1076"/>
      <c r="F49" s="1077"/>
      <c r="G49" s="1078"/>
      <c r="H49" s="533">
        <v>23</v>
      </c>
      <c r="I49" s="533">
        <v>29</v>
      </c>
      <c r="J49" s="533">
        <v>21</v>
      </c>
      <c r="K49" s="505" t="s">
        <v>136</v>
      </c>
      <c r="L49" s="505" t="s">
        <v>136</v>
      </c>
      <c r="M49" s="505" t="s">
        <v>136</v>
      </c>
      <c r="N49" s="505" t="s">
        <v>136</v>
      </c>
      <c r="O49" s="505" t="s">
        <v>136</v>
      </c>
      <c r="P49" s="533"/>
      <c r="Q49" s="533"/>
      <c r="R49" s="520"/>
      <c r="S49" s="532"/>
    </row>
    <row r="50" spans="1:19" ht="15" hidden="1" customHeight="1" x14ac:dyDescent="0.25">
      <c r="A50" s="516"/>
      <c r="B50" s="522" t="s">
        <v>36</v>
      </c>
      <c r="C50" s="902"/>
      <c r="D50" s="871"/>
      <c r="E50" s="788">
        <v>52</v>
      </c>
      <c r="F50" s="789">
        <v>70</v>
      </c>
      <c r="G50" s="529">
        <f>SUM(H50:S50)</f>
        <v>12</v>
      </c>
      <c r="H50" s="519">
        <v>6</v>
      </c>
      <c r="I50" s="520">
        <v>6</v>
      </c>
      <c r="J50" s="505" t="s">
        <v>136</v>
      </c>
      <c r="K50" s="505" t="s">
        <v>136</v>
      </c>
      <c r="L50" s="505" t="s">
        <v>136</v>
      </c>
      <c r="M50" s="505" t="s">
        <v>136</v>
      </c>
      <c r="N50" s="505" t="s">
        <v>136</v>
      </c>
      <c r="O50" s="520">
        <v>0</v>
      </c>
      <c r="P50" s="520">
        <v>0</v>
      </c>
      <c r="Q50" s="520"/>
      <c r="R50" s="520"/>
      <c r="S50" s="521"/>
    </row>
    <row r="51" spans="1:19" ht="15" hidden="1" customHeight="1" x14ac:dyDescent="0.25">
      <c r="A51" s="516"/>
      <c r="B51" s="514" t="s">
        <v>35</v>
      </c>
      <c r="C51" s="903"/>
      <c r="D51" s="872"/>
      <c r="E51" s="790">
        <v>269</v>
      </c>
      <c r="F51" s="791">
        <v>300</v>
      </c>
      <c r="G51" s="530">
        <f>SUM(H51:S51)</f>
        <v>250</v>
      </c>
      <c r="H51" s="524">
        <v>33</v>
      </c>
      <c r="I51" s="525">
        <v>22</v>
      </c>
      <c r="J51" s="533">
        <v>17</v>
      </c>
      <c r="K51" s="533">
        <v>23</v>
      </c>
      <c r="L51" s="533">
        <v>23</v>
      </c>
      <c r="M51" s="533">
        <v>32</v>
      </c>
      <c r="N51" s="525">
        <v>30</v>
      </c>
      <c r="O51" s="525">
        <v>34</v>
      </c>
      <c r="P51" s="525">
        <v>36</v>
      </c>
      <c r="Q51" s="525"/>
      <c r="R51" s="525"/>
      <c r="S51" s="526"/>
    </row>
    <row r="52" spans="1:19" s="655" customFormat="1" ht="15.95" customHeight="1" x14ac:dyDescent="0.25">
      <c r="A52" s="654"/>
      <c r="B52" s="1079" t="s">
        <v>382</v>
      </c>
      <c r="C52" s="1080"/>
      <c r="D52" s="1080"/>
      <c r="E52" s="1080"/>
      <c r="F52" s="1080"/>
      <c r="G52" s="1080"/>
      <c r="H52" s="1080"/>
      <c r="I52" s="1080"/>
      <c r="J52" s="1080"/>
      <c r="K52" s="1080"/>
      <c r="L52" s="1080"/>
      <c r="M52" s="1080"/>
      <c r="N52" s="1080"/>
      <c r="O52" s="1080"/>
      <c r="P52" s="1080"/>
      <c r="Q52" s="1080"/>
      <c r="R52" s="1080"/>
      <c r="S52" s="1081"/>
    </row>
    <row r="53" spans="1:19" ht="15" customHeight="1" x14ac:dyDescent="0.25">
      <c r="A53" s="516"/>
      <c r="B53" s="509" t="s">
        <v>296</v>
      </c>
      <c r="C53" s="750"/>
      <c r="E53" s="724">
        <v>0</v>
      </c>
      <c r="F53" s="725">
        <v>988</v>
      </c>
      <c r="G53" s="722">
        <f>SUM(H53:S53)</f>
        <v>1029</v>
      </c>
      <c r="H53" s="511">
        <v>93</v>
      </c>
      <c r="I53" s="670">
        <v>91</v>
      </c>
      <c r="J53" s="670">
        <v>86</v>
      </c>
      <c r="K53" s="861">
        <v>83</v>
      </c>
      <c r="L53" s="670">
        <v>84</v>
      </c>
      <c r="M53" s="670">
        <v>81</v>
      </c>
      <c r="N53" s="670">
        <v>81</v>
      </c>
      <c r="O53" s="670">
        <v>81</v>
      </c>
      <c r="P53" s="670">
        <v>85</v>
      </c>
      <c r="Q53" s="670">
        <v>86</v>
      </c>
      <c r="R53" s="670">
        <v>89</v>
      </c>
      <c r="S53" s="671">
        <v>89</v>
      </c>
    </row>
    <row r="54" spans="1:19" ht="15" customHeight="1" x14ac:dyDescent="0.25">
      <c r="A54" s="516"/>
      <c r="B54" s="762" t="s">
        <v>297</v>
      </c>
      <c r="C54" s="907"/>
      <c r="E54" s="724">
        <v>0</v>
      </c>
      <c r="F54" s="725">
        <v>27</v>
      </c>
      <c r="G54" s="723">
        <f>SUM(H54:S54)</f>
        <v>22</v>
      </c>
      <c r="H54" s="511">
        <v>0</v>
      </c>
      <c r="I54" s="525">
        <v>0</v>
      </c>
      <c r="J54" s="525">
        <v>0</v>
      </c>
      <c r="K54" s="812">
        <v>1</v>
      </c>
      <c r="L54" s="525">
        <v>1</v>
      </c>
      <c r="M54" s="525">
        <v>1</v>
      </c>
      <c r="N54" s="525">
        <v>4</v>
      </c>
      <c r="O54" s="525">
        <v>1</v>
      </c>
      <c r="P54" s="525">
        <v>3</v>
      </c>
      <c r="Q54" s="525">
        <v>1</v>
      </c>
      <c r="R54" s="670">
        <v>5</v>
      </c>
      <c r="S54" s="526">
        <v>5</v>
      </c>
    </row>
    <row r="55" spans="1:19" ht="15" customHeight="1" x14ac:dyDescent="0.25">
      <c r="A55" s="516"/>
      <c r="B55" s="762" t="s">
        <v>298</v>
      </c>
      <c r="C55" s="907"/>
      <c r="E55" s="724">
        <v>0</v>
      </c>
      <c r="F55" s="725">
        <v>21</v>
      </c>
      <c r="G55" s="723">
        <f>SUM(H55:S55)</f>
        <v>24</v>
      </c>
      <c r="H55" s="511">
        <v>2</v>
      </c>
      <c r="I55" s="525">
        <v>1</v>
      </c>
      <c r="J55" s="525">
        <v>4</v>
      </c>
      <c r="K55" s="812">
        <v>5</v>
      </c>
      <c r="L55" s="525">
        <v>0</v>
      </c>
      <c r="M55" s="525">
        <v>2</v>
      </c>
      <c r="N55" s="525">
        <v>3</v>
      </c>
      <c r="O55" s="525">
        <v>0</v>
      </c>
      <c r="P55" s="525">
        <v>0</v>
      </c>
      <c r="Q55" s="525">
        <v>0</v>
      </c>
      <c r="R55" s="670">
        <v>6</v>
      </c>
      <c r="S55" s="526">
        <v>1</v>
      </c>
    </row>
    <row r="56" spans="1:19" ht="15" customHeight="1" x14ac:dyDescent="0.25">
      <c r="A56" s="516"/>
      <c r="B56" s="534" t="s">
        <v>299</v>
      </c>
      <c r="E56" s="724">
        <v>0</v>
      </c>
      <c r="F56" s="725">
        <v>195</v>
      </c>
      <c r="G56" s="723">
        <f>SUM(H56:S56)</f>
        <v>212</v>
      </c>
      <c r="H56" s="511">
        <v>28</v>
      </c>
      <c r="I56" s="525">
        <v>27</v>
      </c>
      <c r="J56" s="525">
        <v>17</v>
      </c>
      <c r="K56" s="812">
        <v>13</v>
      </c>
      <c r="L56" s="525">
        <v>12</v>
      </c>
      <c r="M56" s="525">
        <v>22</v>
      </c>
      <c r="N56" s="525">
        <v>16</v>
      </c>
      <c r="O56" s="525">
        <v>15</v>
      </c>
      <c r="P56" s="525">
        <v>15</v>
      </c>
      <c r="Q56" s="525">
        <v>15</v>
      </c>
      <c r="R56" s="670">
        <v>16</v>
      </c>
      <c r="S56" s="526">
        <v>16</v>
      </c>
    </row>
    <row r="57" spans="1:19" s="655" customFormat="1" ht="15.95" customHeight="1" x14ac:dyDescent="0.25">
      <c r="A57" s="654"/>
      <c r="B57" s="1051" t="s">
        <v>39</v>
      </c>
      <c r="C57" s="1052"/>
      <c r="D57" s="1052"/>
      <c r="E57" s="1052"/>
      <c r="F57" s="1052"/>
      <c r="G57" s="1052"/>
      <c r="H57" s="1052"/>
      <c r="I57" s="1052"/>
      <c r="J57" s="1052"/>
      <c r="K57" s="1052"/>
      <c r="L57" s="1052"/>
      <c r="M57" s="1052"/>
      <c r="N57" s="1052"/>
      <c r="O57" s="1052"/>
      <c r="P57" s="1052"/>
      <c r="Q57" s="1052"/>
      <c r="R57" s="1052"/>
      <c r="S57" s="1053"/>
    </row>
    <row r="58" spans="1:19" ht="15" customHeight="1" x14ac:dyDescent="0.25">
      <c r="A58" s="516"/>
      <c r="B58" s="536" t="s">
        <v>372</v>
      </c>
      <c r="C58" s="909"/>
      <c r="D58" s="871"/>
      <c r="E58" s="667">
        <f>'FY 19'!G56</f>
        <v>191</v>
      </c>
      <c r="F58" s="510">
        <v>177</v>
      </c>
      <c r="G58" s="961">
        <f>SUM(H58:S58)</f>
        <v>388</v>
      </c>
      <c r="H58" s="537">
        <v>181</v>
      </c>
      <c r="I58" s="538" t="s">
        <v>144</v>
      </c>
      <c r="J58" s="538" t="s">
        <v>144</v>
      </c>
      <c r="K58" s="538" t="s">
        <v>144</v>
      </c>
      <c r="L58" s="538" t="s">
        <v>144</v>
      </c>
      <c r="M58" s="538" t="s">
        <v>144</v>
      </c>
      <c r="N58" s="538" t="s">
        <v>144</v>
      </c>
      <c r="O58" s="538" t="s">
        <v>144</v>
      </c>
      <c r="P58" s="538" t="s">
        <v>144</v>
      </c>
      <c r="Q58" s="538">
        <v>2</v>
      </c>
      <c r="R58" s="538">
        <v>98</v>
      </c>
      <c r="S58" s="569">
        <v>107</v>
      </c>
    </row>
    <row r="59" spans="1:19" ht="15" customHeight="1" x14ac:dyDescent="0.25">
      <c r="A59" s="516"/>
      <c r="B59" s="762" t="s">
        <v>413</v>
      </c>
      <c r="C59" s="910"/>
      <c r="D59" s="873"/>
      <c r="E59" s="667">
        <f>'FY 19'!G57</f>
        <v>119</v>
      </c>
      <c r="F59" s="523">
        <v>5</v>
      </c>
      <c r="G59" s="961">
        <f t="shared" ref="G59:G63" si="4">SUM(H59:S59)</f>
        <v>755</v>
      </c>
      <c r="H59" s="540">
        <v>313</v>
      </c>
      <c r="I59" s="538" t="s">
        <v>144</v>
      </c>
      <c r="J59" s="538" t="s">
        <v>144</v>
      </c>
      <c r="K59" s="538" t="s">
        <v>144</v>
      </c>
      <c r="L59" s="538" t="s">
        <v>144</v>
      </c>
      <c r="M59" s="538" t="s">
        <v>144</v>
      </c>
      <c r="N59" s="538" t="s">
        <v>144</v>
      </c>
      <c r="O59" s="538" t="s">
        <v>144</v>
      </c>
      <c r="P59" s="538" t="s">
        <v>144</v>
      </c>
      <c r="Q59" s="541">
        <v>4</v>
      </c>
      <c r="R59" s="541">
        <v>212</v>
      </c>
      <c r="S59" s="539">
        <v>226</v>
      </c>
    </row>
    <row r="60" spans="1:19" ht="15" customHeight="1" x14ac:dyDescent="0.25">
      <c r="A60" s="516"/>
      <c r="B60" s="534" t="s">
        <v>410</v>
      </c>
      <c r="C60" s="911"/>
      <c r="D60" s="873"/>
      <c r="E60" s="667">
        <f>'FY 19'!G58</f>
        <v>1421</v>
      </c>
      <c r="F60" s="523">
        <v>1413</v>
      </c>
      <c r="G60" s="961">
        <f t="shared" si="4"/>
        <v>1600</v>
      </c>
      <c r="H60" s="540" t="s">
        <v>408</v>
      </c>
      <c r="I60" s="538" t="s">
        <v>144</v>
      </c>
      <c r="J60" s="538" t="s">
        <v>144</v>
      </c>
      <c r="K60" s="853">
        <v>523</v>
      </c>
      <c r="L60" s="541">
        <v>538</v>
      </c>
      <c r="M60" s="541">
        <v>539</v>
      </c>
      <c r="N60" s="538" t="s">
        <v>144</v>
      </c>
      <c r="O60" s="538" t="s">
        <v>144</v>
      </c>
      <c r="P60" s="538" t="s">
        <v>144</v>
      </c>
      <c r="Q60" s="538" t="s">
        <v>144</v>
      </c>
      <c r="R60" s="538" t="s">
        <v>144</v>
      </c>
      <c r="S60" s="538" t="s">
        <v>144</v>
      </c>
    </row>
    <row r="61" spans="1:19" ht="15" customHeight="1" x14ac:dyDescent="0.25">
      <c r="A61" s="516"/>
      <c r="B61" s="762" t="s">
        <v>411</v>
      </c>
      <c r="C61" s="910"/>
      <c r="D61" s="873"/>
      <c r="E61" s="667">
        <f>'FY 19'!G59</f>
        <v>1250</v>
      </c>
      <c r="F61" s="523">
        <v>1005</v>
      </c>
      <c r="G61" s="961">
        <f t="shared" si="4"/>
        <v>3154</v>
      </c>
      <c r="H61" s="540" t="s">
        <v>408</v>
      </c>
      <c r="I61" s="538" t="s">
        <v>144</v>
      </c>
      <c r="J61" s="538" t="s">
        <v>144</v>
      </c>
      <c r="K61" s="853">
        <v>277</v>
      </c>
      <c r="L61" s="541">
        <v>1438</v>
      </c>
      <c r="M61" s="541">
        <v>1439</v>
      </c>
      <c r="N61" s="538" t="s">
        <v>144</v>
      </c>
      <c r="O61" s="538" t="s">
        <v>144</v>
      </c>
      <c r="P61" s="538" t="s">
        <v>144</v>
      </c>
      <c r="Q61" s="538" t="s">
        <v>144</v>
      </c>
      <c r="R61" s="538" t="s">
        <v>144</v>
      </c>
      <c r="S61" s="538" t="s">
        <v>144</v>
      </c>
    </row>
    <row r="62" spans="1:19" ht="15" customHeight="1" x14ac:dyDescent="0.25">
      <c r="A62" s="516"/>
      <c r="B62" s="534" t="s">
        <v>412</v>
      </c>
      <c r="C62" s="911"/>
      <c r="D62" s="873"/>
      <c r="E62" s="667">
        <f>'FY 19'!G60</f>
        <v>3350</v>
      </c>
      <c r="F62" s="523">
        <v>3405</v>
      </c>
      <c r="G62" s="961">
        <f t="shared" si="4"/>
        <v>2617</v>
      </c>
      <c r="H62" s="540" t="s">
        <v>408</v>
      </c>
      <c r="I62" s="538" t="s">
        <v>144</v>
      </c>
      <c r="J62" s="538" t="s">
        <v>144</v>
      </c>
      <c r="K62" s="853">
        <v>860</v>
      </c>
      <c r="L62" s="541">
        <v>878</v>
      </c>
      <c r="M62" s="541">
        <v>879</v>
      </c>
      <c r="N62" s="538" t="s">
        <v>144</v>
      </c>
      <c r="O62" s="538" t="s">
        <v>144</v>
      </c>
      <c r="P62" s="538" t="s">
        <v>144</v>
      </c>
      <c r="Q62" s="538" t="s">
        <v>144</v>
      </c>
      <c r="R62" s="538" t="s">
        <v>144</v>
      </c>
      <c r="S62" s="538" t="s">
        <v>144</v>
      </c>
    </row>
    <row r="63" spans="1:19" ht="15" customHeight="1" x14ac:dyDescent="0.25">
      <c r="A63" s="516"/>
      <c r="B63" s="761" t="s">
        <v>409</v>
      </c>
      <c r="C63" s="906"/>
      <c r="D63" s="872"/>
      <c r="E63" s="667">
        <f>'FY 19'!G61</f>
        <v>3135</v>
      </c>
      <c r="F63" s="515">
        <v>2897</v>
      </c>
      <c r="G63" s="961">
        <f t="shared" si="4"/>
        <v>4752</v>
      </c>
      <c r="H63" s="540" t="s">
        <v>408</v>
      </c>
      <c r="I63" s="538" t="s">
        <v>144</v>
      </c>
      <c r="J63" s="538" t="s">
        <v>144</v>
      </c>
      <c r="K63" s="854">
        <v>625</v>
      </c>
      <c r="L63" s="541">
        <v>2063</v>
      </c>
      <c r="M63" s="559">
        <v>2064</v>
      </c>
      <c r="N63" s="538" t="s">
        <v>144</v>
      </c>
      <c r="O63" s="538" t="s">
        <v>144</v>
      </c>
      <c r="P63" s="538" t="s">
        <v>144</v>
      </c>
      <c r="Q63" s="538" t="s">
        <v>144</v>
      </c>
      <c r="R63" s="538" t="s">
        <v>144</v>
      </c>
      <c r="S63" s="538" t="s">
        <v>144</v>
      </c>
    </row>
    <row r="64" spans="1:19" s="655" customFormat="1" ht="15.95" customHeight="1" x14ac:dyDescent="0.25">
      <c r="A64" s="654"/>
      <c r="B64" s="1051" t="s">
        <v>240</v>
      </c>
      <c r="C64" s="1052"/>
      <c r="D64" s="1052"/>
      <c r="E64" s="1052"/>
      <c r="F64" s="1052"/>
      <c r="G64" s="1052"/>
      <c r="H64" s="1052"/>
      <c r="I64" s="1052"/>
      <c r="J64" s="1052"/>
      <c r="K64" s="1052"/>
      <c r="L64" s="1052"/>
      <c r="M64" s="1052"/>
      <c r="N64" s="1052"/>
      <c r="O64" s="1052"/>
      <c r="P64" s="1052"/>
      <c r="Q64" s="1052"/>
      <c r="R64" s="1052"/>
      <c r="S64" s="1053"/>
    </row>
    <row r="65" spans="1:20" ht="15" customHeight="1" x14ac:dyDescent="0.25">
      <c r="A65" s="516"/>
      <c r="B65" s="509" t="s">
        <v>304</v>
      </c>
      <c r="C65" s="750"/>
      <c r="E65" s="934">
        <v>3094534.5100000002</v>
      </c>
      <c r="F65" s="544">
        <v>3338074.2199999997</v>
      </c>
      <c r="G65" s="544">
        <f>SUM(H65:S65)</f>
        <v>2738194.7</v>
      </c>
      <c r="H65" s="545">
        <v>257983.58</v>
      </c>
      <c r="I65" s="554">
        <v>247057.61</v>
      </c>
      <c r="J65" s="554">
        <v>232543.86</v>
      </c>
      <c r="K65" s="855">
        <v>232182.22</v>
      </c>
      <c r="L65" s="554">
        <v>225981.7</v>
      </c>
      <c r="M65" s="554">
        <v>226434.15</v>
      </c>
      <c r="N65" s="554">
        <v>224169.34</v>
      </c>
      <c r="O65" s="554">
        <v>221027.03</v>
      </c>
      <c r="P65" s="554">
        <v>220189.94</v>
      </c>
      <c r="Q65" s="956">
        <v>211513.64</v>
      </c>
      <c r="R65" s="958">
        <v>215785.39</v>
      </c>
      <c r="S65" s="957">
        <v>223326.24</v>
      </c>
    </row>
    <row r="66" spans="1:20" ht="15" customHeight="1" x14ac:dyDescent="0.25">
      <c r="A66" s="516"/>
      <c r="B66" s="522" t="s">
        <v>305</v>
      </c>
      <c r="C66" s="750"/>
      <c r="E66" s="934">
        <v>35037.230000000003</v>
      </c>
      <c r="F66" s="544">
        <v>33449.75</v>
      </c>
      <c r="G66" s="544">
        <f t="shared" ref="G66:G76" si="5">SUM(H66:S66)</f>
        <v>27598.720000000005</v>
      </c>
      <c r="H66" s="545">
        <v>2456.0500000000002</v>
      </c>
      <c r="I66" s="554">
        <v>2414.38</v>
      </c>
      <c r="J66" s="554">
        <v>2285.08</v>
      </c>
      <c r="K66" s="855">
        <v>2279.98</v>
      </c>
      <c r="L66" s="554">
        <v>2130.0700000000002</v>
      </c>
      <c r="M66" s="554">
        <v>2241.67</v>
      </c>
      <c r="N66" s="554">
        <v>2528.36</v>
      </c>
      <c r="O66" s="554">
        <v>2286.9899999999998</v>
      </c>
      <c r="P66" s="554">
        <v>2301.86</v>
      </c>
      <c r="Q66" s="956">
        <v>2262.9299999999998</v>
      </c>
      <c r="R66" s="958">
        <v>2204.06</v>
      </c>
      <c r="S66" s="957">
        <v>2207.29</v>
      </c>
    </row>
    <row r="67" spans="1:20" ht="15" customHeight="1" x14ac:dyDescent="0.25">
      <c r="A67" s="516"/>
      <c r="B67" s="522" t="s">
        <v>243</v>
      </c>
      <c r="C67" s="750"/>
      <c r="E67" s="934">
        <v>116606.05</v>
      </c>
      <c r="F67" s="544">
        <v>113161.79</v>
      </c>
      <c r="G67" s="544">
        <f t="shared" si="5"/>
        <v>101712.98000000001</v>
      </c>
      <c r="H67" s="545">
        <f>11780+15880</f>
        <v>27660</v>
      </c>
      <c r="I67" s="554">
        <v>2130</v>
      </c>
      <c r="J67" s="923">
        <v>615.36</v>
      </c>
      <c r="K67" s="855">
        <v>11890</v>
      </c>
      <c r="L67" s="554">
        <v>2700</v>
      </c>
      <c r="M67" s="554">
        <v>110</v>
      </c>
      <c r="N67" s="554">
        <f>12460+11657.62</f>
        <v>24117.620000000003</v>
      </c>
      <c r="O67" s="554">
        <v>4350</v>
      </c>
      <c r="P67" s="554">
        <v>0</v>
      </c>
      <c r="Q67" s="956">
        <f>11570+13720</f>
        <v>25290</v>
      </c>
      <c r="R67" s="958">
        <v>2850</v>
      </c>
      <c r="S67" s="696">
        <v>0</v>
      </c>
    </row>
    <row r="68" spans="1:20" ht="15" customHeight="1" x14ac:dyDescent="0.25">
      <c r="A68" s="516"/>
      <c r="B68" s="514" t="s">
        <v>244</v>
      </c>
      <c r="C68" s="750"/>
      <c r="E68" s="934">
        <v>32788.129999999997</v>
      </c>
      <c r="F68" s="544">
        <v>24966.190000000002</v>
      </c>
      <c r="G68" s="544">
        <f t="shared" si="5"/>
        <v>39218.49</v>
      </c>
      <c r="H68" s="545">
        <v>3475</v>
      </c>
      <c r="I68" s="554">
        <v>85</v>
      </c>
      <c r="J68" s="554">
        <v>1075</v>
      </c>
      <c r="K68" s="855">
        <f>14100+450</f>
        <v>14550</v>
      </c>
      <c r="L68" s="554">
        <v>0</v>
      </c>
      <c r="M68" s="554">
        <v>4155</v>
      </c>
      <c r="N68" s="696">
        <v>1264</v>
      </c>
      <c r="O68" s="554">
        <v>3362.55</v>
      </c>
      <c r="P68" s="554">
        <v>2668.1</v>
      </c>
      <c r="Q68" s="696">
        <v>3254.9</v>
      </c>
      <c r="R68" s="958">
        <v>4143.4399999999996</v>
      </c>
      <c r="S68" s="957">
        <v>1185.5</v>
      </c>
    </row>
    <row r="69" spans="1:20" ht="15" customHeight="1" x14ac:dyDescent="0.25">
      <c r="A69" s="516"/>
      <c r="B69" s="509" t="s">
        <v>245</v>
      </c>
      <c r="C69" s="750"/>
      <c r="E69" s="934">
        <v>277181.44</v>
      </c>
      <c r="F69" s="544">
        <v>172290.38999999998</v>
      </c>
      <c r="G69" s="544">
        <f>SUM(H69:S69)</f>
        <v>105088.07</v>
      </c>
      <c r="H69" s="545">
        <v>23772.51</v>
      </c>
      <c r="I69" s="554">
        <v>15597.03</v>
      </c>
      <c r="J69" s="554">
        <v>10702.17</v>
      </c>
      <c r="K69" s="855">
        <v>3800</v>
      </c>
      <c r="L69" s="554">
        <v>3502.73</v>
      </c>
      <c r="M69" s="554">
        <v>2582.85</v>
      </c>
      <c r="N69" s="554">
        <f>196.08+1920</f>
        <v>2116.08</v>
      </c>
      <c r="O69" s="554">
        <v>6233.3</v>
      </c>
      <c r="P69" s="554">
        <v>7928.85</v>
      </c>
      <c r="Q69" s="956">
        <f>9376.94+420</f>
        <v>9796.94</v>
      </c>
      <c r="R69" s="958">
        <v>9528.61</v>
      </c>
      <c r="S69" s="957">
        <v>9527</v>
      </c>
    </row>
    <row r="70" spans="1:20" ht="15" customHeight="1" x14ac:dyDescent="0.25">
      <c r="A70" s="516"/>
      <c r="B70" s="522" t="s">
        <v>306</v>
      </c>
      <c r="C70" s="750"/>
      <c r="E70" s="934">
        <v>52789.42</v>
      </c>
      <c r="F70" s="544">
        <v>27688.7</v>
      </c>
      <c r="G70" s="544">
        <f t="shared" si="5"/>
        <v>41296.51</v>
      </c>
      <c r="H70" s="545">
        <v>1738</v>
      </c>
      <c r="I70" s="554">
        <v>8588.5</v>
      </c>
      <c r="J70" s="554">
        <v>587.5</v>
      </c>
      <c r="K70" s="855">
        <v>237.5</v>
      </c>
      <c r="L70" s="554">
        <v>4260</v>
      </c>
      <c r="M70" s="554">
        <v>8318.6200000000008</v>
      </c>
      <c r="N70" s="554">
        <v>6325</v>
      </c>
      <c r="O70" s="554">
        <v>5713</v>
      </c>
      <c r="P70" s="554">
        <v>1912.58</v>
      </c>
      <c r="Q70" s="956">
        <v>617</v>
      </c>
      <c r="R70" s="958">
        <v>1530.1</v>
      </c>
      <c r="S70" s="957">
        <v>1468.71</v>
      </c>
    </row>
    <row r="71" spans="1:20" ht="15" customHeight="1" x14ac:dyDescent="0.25">
      <c r="A71" s="516"/>
      <c r="B71" s="522" t="s">
        <v>307</v>
      </c>
      <c r="C71" s="750"/>
      <c r="E71" s="934">
        <v>93451.309999999983</v>
      </c>
      <c r="F71" s="544">
        <v>26204.76</v>
      </c>
      <c r="G71" s="544">
        <f t="shared" si="5"/>
        <v>12821.310000000001</v>
      </c>
      <c r="H71" s="545">
        <v>172</v>
      </c>
      <c r="I71" s="554">
        <v>1642.4</v>
      </c>
      <c r="J71" s="554">
        <v>240</v>
      </c>
      <c r="K71" s="855">
        <v>555</v>
      </c>
      <c r="L71" s="554">
        <v>737.78</v>
      </c>
      <c r="M71" s="554">
        <v>360</v>
      </c>
      <c r="N71" s="554">
        <v>0</v>
      </c>
      <c r="O71" s="554">
        <v>5200.0200000000004</v>
      </c>
      <c r="P71" s="554">
        <v>1532.52</v>
      </c>
      <c r="Q71" s="956">
        <v>1308.5</v>
      </c>
      <c r="R71" s="958">
        <v>809.09</v>
      </c>
      <c r="S71" s="957">
        <v>264</v>
      </c>
    </row>
    <row r="72" spans="1:20" ht="15" customHeight="1" x14ac:dyDescent="0.25">
      <c r="A72" s="516"/>
      <c r="B72" s="534" t="s">
        <v>308</v>
      </c>
      <c r="D72" s="878"/>
      <c r="E72" s="934">
        <v>7838.65</v>
      </c>
      <c r="F72" s="544">
        <v>0</v>
      </c>
      <c r="G72" s="544">
        <f t="shared" si="5"/>
        <v>1244</v>
      </c>
      <c r="H72" s="545">
        <v>0</v>
      </c>
      <c r="I72" s="554">
        <v>1244</v>
      </c>
      <c r="J72" s="554">
        <v>0</v>
      </c>
      <c r="K72" s="855">
        <v>0</v>
      </c>
      <c r="L72" s="554">
        <v>0</v>
      </c>
      <c r="M72" s="554">
        <v>0</v>
      </c>
      <c r="N72" s="554">
        <v>0</v>
      </c>
      <c r="O72" s="554">
        <v>0</v>
      </c>
      <c r="P72" s="554">
        <v>0</v>
      </c>
      <c r="Q72" s="554">
        <v>0</v>
      </c>
      <c r="R72" s="554">
        <v>0</v>
      </c>
      <c r="S72" s="554">
        <v>0</v>
      </c>
    </row>
    <row r="73" spans="1:20" ht="15" customHeight="1" x14ac:dyDescent="0.25">
      <c r="A73" s="516"/>
      <c r="B73" s="534" t="s">
        <v>404</v>
      </c>
      <c r="D73" s="878"/>
      <c r="E73" s="934"/>
      <c r="F73" s="544"/>
      <c r="G73" s="544">
        <f t="shared" si="5"/>
        <v>76144.849999999991</v>
      </c>
      <c r="H73" s="545">
        <v>18319.96</v>
      </c>
      <c r="I73" s="554">
        <v>20200</v>
      </c>
      <c r="J73" s="554">
        <v>34826.559999999998</v>
      </c>
      <c r="K73" s="855">
        <v>2600</v>
      </c>
      <c r="L73" s="554">
        <v>75</v>
      </c>
      <c r="M73" s="554">
        <v>0</v>
      </c>
      <c r="N73" s="554">
        <v>123.33</v>
      </c>
      <c r="O73" s="554">
        <v>0</v>
      </c>
      <c r="P73" s="554">
        <v>0</v>
      </c>
      <c r="Q73" s="554">
        <v>0</v>
      </c>
      <c r="R73" s="554">
        <v>0</v>
      </c>
      <c r="S73" s="554">
        <v>0</v>
      </c>
    </row>
    <row r="74" spans="1:20" ht="15" customHeight="1" x14ac:dyDescent="0.25">
      <c r="A74" s="516"/>
      <c r="B74" s="534" t="s">
        <v>393</v>
      </c>
      <c r="D74" s="878"/>
      <c r="E74" s="934">
        <v>56500.57</v>
      </c>
      <c r="F74" s="544">
        <v>29252.26</v>
      </c>
      <c r="G74" s="544">
        <f t="shared" si="5"/>
        <v>36777.25</v>
      </c>
      <c r="H74" s="545">
        <v>2391.13</v>
      </c>
      <c r="I74" s="554">
        <v>3312.15</v>
      </c>
      <c r="J74" s="554">
        <v>4728.6899999999996</v>
      </c>
      <c r="K74" s="855">
        <v>4695.58</v>
      </c>
      <c r="L74" s="554">
        <v>1713</v>
      </c>
      <c r="M74" s="554">
        <v>1456.35</v>
      </c>
      <c r="N74" s="554">
        <v>7259.5</v>
      </c>
      <c r="O74" s="554">
        <v>349.57</v>
      </c>
      <c r="P74" s="554">
        <v>3259.97</v>
      </c>
      <c r="Q74" s="956">
        <v>977</v>
      </c>
      <c r="R74" s="958">
        <v>1653</v>
      </c>
      <c r="S74" s="957">
        <v>4981.3100000000004</v>
      </c>
    </row>
    <row r="75" spans="1:20" ht="15" customHeight="1" x14ac:dyDescent="0.25">
      <c r="A75" s="516"/>
      <c r="B75" s="534" t="s">
        <v>309</v>
      </c>
      <c r="D75" s="878"/>
      <c r="E75" s="934">
        <v>3659111.4499999993</v>
      </c>
      <c r="F75" s="544">
        <v>3782776.5399999996</v>
      </c>
      <c r="G75" s="544">
        <f t="shared" si="5"/>
        <v>3106544.58</v>
      </c>
      <c r="H75" s="545">
        <v>333185.96999999997</v>
      </c>
      <c r="I75" s="554">
        <v>295646.77</v>
      </c>
      <c r="J75" s="554">
        <v>278149.84000000003</v>
      </c>
      <c r="K75" s="855">
        <v>263399.12</v>
      </c>
      <c r="L75" s="554">
        <v>237674.28</v>
      </c>
      <c r="M75" s="554">
        <v>242745.94</v>
      </c>
      <c r="N75" s="554">
        <v>253384.23</v>
      </c>
      <c r="O75" s="554">
        <v>247823.32</v>
      </c>
      <c r="P75" s="554">
        <v>233273.88</v>
      </c>
      <c r="Q75" s="956">
        <v>253066.11</v>
      </c>
      <c r="R75" s="958">
        <v>235197.69</v>
      </c>
      <c r="S75" s="957">
        <v>232997.43</v>
      </c>
      <c r="T75" s="556"/>
    </row>
    <row r="76" spans="1:20" ht="31.5" customHeight="1" x14ac:dyDescent="0.25">
      <c r="A76" s="516"/>
      <c r="B76" s="535" t="s">
        <v>310</v>
      </c>
      <c r="D76" s="877"/>
      <c r="E76" s="934">
        <v>114974.13999999998</v>
      </c>
      <c r="F76" s="544">
        <v>24577.200000000001</v>
      </c>
      <c r="G76" s="544">
        <f t="shared" si="5"/>
        <v>11078</v>
      </c>
      <c r="H76" s="545">
        <v>634</v>
      </c>
      <c r="I76" s="554">
        <v>734</v>
      </c>
      <c r="J76" s="554">
        <v>834</v>
      </c>
      <c r="K76" s="855">
        <v>634</v>
      </c>
      <c r="L76" s="554">
        <v>634</v>
      </c>
      <c r="M76" s="554">
        <v>634</v>
      </c>
      <c r="N76" s="554">
        <v>634</v>
      </c>
      <c r="O76" s="554">
        <v>1902</v>
      </c>
      <c r="P76" s="554">
        <v>634</v>
      </c>
      <c r="Q76" s="956">
        <v>634</v>
      </c>
      <c r="R76" s="958">
        <v>634</v>
      </c>
      <c r="S76" s="957">
        <v>2536</v>
      </c>
    </row>
    <row r="77" spans="1:20" s="655" customFormat="1" ht="15.95" customHeight="1" x14ac:dyDescent="0.25">
      <c r="A77" s="654"/>
      <c r="B77" s="1063" t="s">
        <v>43</v>
      </c>
      <c r="C77" s="1064"/>
      <c r="D77" s="1064"/>
      <c r="E77" s="1064"/>
      <c r="F77" s="1064"/>
      <c r="G77" s="1064"/>
      <c r="H77" s="1064"/>
      <c r="I77" s="1064"/>
      <c r="J77" s="1064"/>
      <c r="K77" s="1064"/>
      <c r="L77" s="1064"/>
      <c r="M77" s="1064"/>
      <c r="N77" s="1064"/>
      <c r="O77" s="1064"/>
      <c r="P77" s="1064"/>
      <c r="Q77" s="1064"/>
      <c r="R77" s="1064"/>
      <c r="S77" s="1065"/>
    </row>
    <row r="78" spans="1:20" s="655" customFormat="1" ht="15.95" customHeight="1" x14ac:dyDescent="0.25">
      <c r="A78" s="654"/>
      <c r="B78" s="1066" t="s">
        <v>44</v>
      </c>
      <c r="C78" s="1067"/>
      <c r="D78" s="1067"/>
      <c r="E78" s="1067"/>
      <c r="F78" s="1067"/>
      <c r="G78" s="1067"/>
      <c r="H78" s="1067"/>
      <c r="I78" s="1067"/>
      <c r="J78" s="1067"/>
      <c r="K78" s="1067"/>
      <c r="L78" s="1067"/>
      <c r="M78" s="1067"/>
      <c r="N78" s="1067"/>
      <c r="O78" s="1067"/>
      <c r="P78" s="1067"/>
      <c r="Q78" s="1067"/>
      <c r="R78" s="1067"/>
      <c r="S78" s="1068"/>
    </row>
    <row r="79" spans="1:20" ht="15" customHeight="1" x14ac:dyDescent="0.25">
      <c r="A79" s="516"/>
      <c r="B79" s="536" t="s">
        <v>311</v>
      </c>
      <c r="C79" s="909"/>
      <c r="D79" s="871"/>
      <c r="E79" s="686"/>
      <c r="F79" s="887">
        <v>364</v>
      </c>
      <c r="G79" s="653">
        <f>SUM(H79:S79)</f>
        <v>411</v>
      </c>
      <c r="H79" s="832">
        <v>35</v>
      </c>
      <c r="I79" s="833">
        <v>33</v>
      </c>
      <c r="J79" s="629">
        <v>27</v>
      </c>
      <c r="K79" s="561">
        <v>43</v>
      </c>
      <c r="L79" s="512">
        <v>17</v>
      </c>
      <c r="M79" s="512">
        <v>37</v>
      </c>
      <c r="N79" s="512">
        <v>31</v>
      </c>
      <c r="O79" s="512">
        <v>31</v>
      </c>
      <c r="P79" s="512">
        <v>39</v>
      </c>
      <c r="Q79" s="512">
        <v>30</v>
      </c>
      <c r="R79" s="512">
        <v>45</v>
      </c>
      <c r="S79" s="513">
        <v>43</v>
      </c>
    </row>
    <row r="80" spans="1:20" ht="15" customHeight="1" x14ac:dyDescent="0.25">
      <c r="A80" s="516"/>
      <c r="B80" s="534" t="s">
        <v>312</v>
      </c>
      <c r="C80" s="911"/>
      <c r="D80" s="873" t="s">
        <v>384</v>
      </c>
      <c r="E80" s="686"/>
      <c r="F80" s="888">
        <v>3.0833333333333335</v>
      </c>
      <c r="G80" s="653">
        <f>AVERAGE(H80:S80)</f>
        <v>5</v>
      </c>
      <c r="H80" s="519">
        <v>5</v>
      </c>
      <c r="I80" s="512">
        <v>2</v>
      </c>
      <c r="J80" s="520">
        <v>2</v>
      </c>
      <c r="K80" s="807">
        <v>8</v>
      </c>
      <c r="L80" s="520">
        <v>6</v>
      </c>
      <c r="M80" s="520">
        <v>1</v>
      </c>
      <c r="N80" s="520">
        <v>6</v>
      </c>
      <c r="O80" s="520">
        <v>4</v>
      </c>
      <c r="P80" s="520">
        <v>7</v>
      </c>
      <c r="Q80" s="520">
        <v>8</v>
      </c>
      <c r="R80" s="520">
        <v>6</v>
      </c>
      <c r="S80" s="521">
        <v>5</v>
      </c>
    </row>
    <row r="81" spans="1:19" ht="15" customHeight="1" x14ac:dyDescent="0.25">
      <c r="A81" s="516"/>
      <c r="B81" s="534" t="s">
        <v>269</v>
      </c>
      <c r="C81" s="911"/>
      <c r="D81" s="873" t="s">
        <v>384</v>
      </c>
      <c r="E81" s="686"/>
      <c r="F81" s="889">
        <v>71.25</v>
      </c>
      <c r="G81" s="653">
        <f t="shared" ref="G81" si="6">SUM(H81:S81)</f>
        <v>815</v>
      </c>
      <c r="H81" s="533">
        <v>66</v>
      </c>
      <c r="I81" s="533">
        <v>66</v>
      </c>
      <c r="J81" s="533">
        <v>68</v>
      </c>
      <c r="K81" s="858">
        <v>71</v>
      </c>
      <c r="L81" s="533">
        <v>58</v>
      </c>
      <c r="M81" s="533">
        <v>62</v>
      </c>
      <c r="N81" s="533">
        <v>72</v>
      </c>
      <c r="O81" s="533">
        <v>58</v>
      </c>
      <c r="P81" s="533">
        <v>77</v>
      </c>
      <c r="Q81" s="533">
        <v>74</v>
      </c>
      <c r="R81" s="858">
        <v>72</v>
      </c>
      <c r="S81" s="539">
        <v>71</v>
      </c>
    </row>
    <row r="82" spans="1:19" ht="15" customHeight="1" x14ac:dyDescent="0.25">
      <c r="A82" s="516"/>
      <c r="B82" s="762" t="s">
        <v>313</v>
      </c>
      <c r="C82" s="907"/>
      <c r="E82" s="726">
        <v>0</v>
      </c>
      <c r="F82" s="726">
        <v>0</v>
      </c>
      <c r="G82" s="726">
        <v>0</v>
      </c>
      <c r="H82" s="533">
        <v>38</v>
      </c>
      <c r="I82" s="533">
        <v>32</v>
      </c>
      <c r="J82" s="533">
        <v>30</v>
      </c>
      <c r="K82" s="858">
        <v>47</v>
      </c>
      <c r="L82" s="533">
        <v>21</v>
      </c>
      <c r="M82" s="533">
        <v>38</v>
      </c>
      <c r="N82" s="533">
        <v>33</v>
      </c>
      <c r="O82" s="533">
        <v>34</v>
      </c>
      <c r="P82" s="533">
        <v>44</v>
      </c>
      <c r="Q82" s="533">
        <v>38</v>
      </c>
      <c r="R82" s="533">
        <v>49</v>
      </c>
      <c r="S82" s="532">
        <v>50</v>
      </c>
    </row>
    <row r="83" spans="1:19" ht="15" customHeight="1" x14ac:dyDescent="0.25">
      <c r="A83" s="516"/>
      <c r="B83" s="761" t="s">
        <v>314</v>
      </c>
      <c r="C83" s="907"/>
      <c r="E83" s="729">
        <v>0</v>
      </c>
      <c r="F83" s="729">
        <v>0</v>
      </c>
      <c r="G83" s="729">
        <v>0</v>
      </c>
      <c r="H83" s="533">
        <v>31</v>
      </c>
      <c r="I83" s="533">
        <v>27</v>
      </c>
      <c r="J83" s="533">
        <v>26</v>
      </c>
      <c r="K83" s="858">
        <v>31</v>
      </c>
      <c r="L83" s="533">
        <v>36</v>
      </c>
      <c r="M83" s="533">
        <v>16</v>
      </c>
      <c r="N83" s="533">
        <v>28</v>
      </c>
      <c r="O83" s="533">
        <v>20</v>
      </c>
      <c r="P83" s="533">
        <v>22</v>
      </c>
      <c r="Q83" s="533">
        <v>40</v>
      </c>
      <c r="R83" s="533">
        <v>34</v>
      </c>
      <c r="S83" s="560">
        <v>47</v>
      </c>
    </row>
    <row r="84" spans="1:19" s="655" customFormat="1" ht="15.95" customHeight="1" x14ac:dyDescent="0.25">
      <c r="A84" s="654"/>
      <c r="B84" s="1051" t="s">
        <v>50</v>
      </c>
      <c r="C84" s="1052"/>
      <c r="D84" s="1052"/>
      <c r="E84" s="1052"/>
      <c r="F84" s="1052"/>
      <c r="G84" s="1052"/>
      <c r="H84" s="1052"/>
      <c r="I84" s="1052"/>
      <c r="J84" s="1052"/>
      <c r="K84" s="1052"/>
      <c r="L84" s="1052"/>
      <c r="M84" s="1052"/>
      <c r="N84" s="1052"/>
      <c r="O84" s="1052"/>
      <c r="P84" s="1052"/>
      <c r="Q84" s="1052"/>
      <c r="R84" s="1052"/>
      <c r="S84" s="1053"/>
    </row>
    <row r="85" spans="1:19" ht="15" customHeight="1" x14ac:dyDescent="0.25">
      <c r="A85" s="516"/>
      <c r="B85" s="536" t="s">
        <v>369</v>
      </c>
      <c r="C85" s="909"/>
      <c r="D85" s="871" t="s">
        <v>384</v>
      </c>
      <c r="E85" s="686"/>
      <c r="F85" s="936">
        <v>109.91666666666667</v>
      </c>
      <c r="G85" s="890">
        <f>AVERAGE(H85:S85)</f>
        <v>117.25</v>
      </c>
      <c r="H85" s="832">
        <v>113</v>
      </c>
      <c r="I85" s="844">
        <v>117</v>
      </c>
      <c r="J85" s="846">
        <v>114</v>
      </c>
      <c r="K85" s="561">
        <v>112</v>
      </c>
      <c r="L85" s="561">
        <v>115</v>
      </c>
      <c r="M85" s="561">
        <v>120</v>
      </c>
      <c r="N85" s="561">
        <v>122</v>
      </c>
      <c r="O85" s="561">
        <v>118</v>
      </c>
      <c r="P85" s="561">
        <v>118</v>
      </c>
      <c r="Q85" s="561">
        <v>117</v>
      </c>
      <c r="R85" s="561">
        <v>118</v>
      </c>
      <c r="S85" s="527">
        <v>123</v>
      </c>
    </row>
    <row r="86" spans="1:19" ht="15" customHeight="1" x14ac:dyDescent="0.25">
      <c r="A86" s="516"/>
      <c r="B86" s="762" t="s">
        <v>270</v>
      </c>
      <c r="C86" s="907"/>
      <c r="E86" s="728"/>
      <c r="F86" s="728"/>
      <c r="G86" s="728"/>
      <c r="H86" s="511">
        <v>3</v>
      </c>
      <c r="I86" s="531">
        <v>4</v>
      </c>
      <c r="J86" s="505">
        <v>2</v>
      </c>
      <c r="K86" s="505">
        <v>0</v>
      </c>
      <c r="L86" s="505">
        <v>4</v>
      </c>
      <c r="M86" s="505">
        <v>6</v>
      </c>
      <c r="N86" s="505">
        <v>2</v>
      </c>
      <c r="O86" s="505">
        <v>3</v>
      </c>
      <c r="P86" s="505">
        <v>2</v>
      </c>
      <c r="Q86" s="505">
        <v>5</v>
      </c>
      <c r="R86" s="505">
        <v>3</v>
      </c>
      <c r="S86" s="527">
        <v>5</v>
      </c>
    </row>
    <row r="87" spans="1:19" ht="15" customHeight="1" x14ac:dyDescent="0.25">
      <c r="A87" s="516"/>
      <c r="B87" s="761" t="s">
        <v>271</v>
      </c>
      <c r="C87" s="907"/>
      <c r="D87" s="877"/>
      <c r="E87" s="728"/>
      <c r="F87" s="728"/>
      <c r="G87" s="728"/>
      <c r="H87" s="511">
        <v>0</v>
      </c>
      <c r="I87" s="533">
        <v>0</v>
      </c>
      <c r="J87" s="533">
        <v>3</v>
      </c>
      <c r="K87" s="533">
        <v>2</v>
      </c>
      <c r="L87" s="533">
        <v>1</v>
      </c>
      <c r="M87" s="533">
        <v>1</v>
      </c>
      <c r="N87" s="533">
        <v>0</v>
      </c>
      <c r="O87" s="533">
        <v>5</v>
      </c>
      <c r="P87" s="533">
        <v>2</v>
      </c>
      <c r="Q87" s="533">
        <v>6</v>
      </c>
      <c r="R87" s="533">
        <v>8</v>
      </c>
      <c r="S87" s="527">
        <v>0</v>
      </c>
    </row>
    <row r="88" spans="1:19" s="655" customFormat="1" ht="15.95" customHeight="1" x14ac:dyDescent="0.25">
      <c r="A88" s="654"/>
      <c r="B88" s="1051" t="s">
        <v>52</v>
      </c>
      <c r="C88" s="1052"/>
      <c r="D88" s="1052"/>
      <c r="E88" s="1052"/>
      <c r="F88" s="1052"/>
      <c r="G88" s="1052"/>
      <c r="H88" s="1052"/>
      <c r="I88" s="1052"/>
      <c r="J88" s="1052"/>
      <c r="K88" s="1052"/>
      <c r="L88" s="1052"/>
      <c r="M88" s="1052"/>
      <c r="N88" s="1052"/>
      <c r="O88" s="1052"/>
      <c r="P88" s="1052"/>
      <c r="Q88" s="1052"/>
      <c r="R88" s="1052"/>
      <c r="S88" s="1053"/>
    </row>
    <row r="89" spans="1:19" ht="15" customHeight="1" x14ac:dyDescent="0.25">
      <c r="A89" s="516"/>
      <c r="B89" s="536" t="s">
        <v>316</v>
      </c>
      <c r="D89" s="875" t="s">
        <v>384</v>
      </c>
      <c r="E89" s="937"/>
      <c r="F89" s="935">
        <v>125.58333333333333</v>
      </c>
      <c r="G89" s="890">
        <f>AVERAGE(H89:S89)</f>
        <v>121.58333333333333</v>
      </c>
      <c r="H89" s="511">
        <v>124</v>
      </c>
      <c r="I89" s="845">
        <v>122</v>
      </c>
      <c r="J89" s="561">
        <v>122</v>
      </c>
      <c r="K89" s="561">
        <v>121</v>
      </c>
      <c r="L89" s="561">
        <v>121</v>
      </c>
      <c r="M89" s="561">
        <v>118</v>
      </c>
      <c r="N89" s="561">
        <v>117</v>
      </c>
      <c r="O89" s="561">
        <v>117</v>
      </c>
      <c r="P89" s="561">
        <v>119</v>
      </c>
      <c r="Q89" s="561">
        <v>127</v>
      </c>
      <c r="R89" s="561">
        <v>126</v>
      </c>
      <c r="S89" s="527">
        <v>125</v>
      </c>
    </row>
    <row r="90" spans="1:19" ht="15" hidden="1" customHeight="1" x14ac:dyDescent="0.25">
      <c r="A90" s="516"/>
      <c r="B90" s="762" t="s">
        <v>270</v>
      </c>
      <c r="C90" s="907"/>
      <c r="E90" s="726">
        <v>0</v>
      </c>
      <c r="F90" s="727">
        <v>0</v>
      </c>
      <c r="G90" s="890" t="e">
        <f t="shared" ref="G90:G93" si="7">AVERAGE(H90:S90)</f>
        <v>#DIV/0!</v>
      </c>
      <c r="H90" s="511"/>
      <c r="I90" s="822"/>
      <c r="J90" s="561"/>
      <c r="K90" s="561"/>
      <c r="L90" s="561"/>
      <c r="M90" s="561"/>
      <c r="N90" s="561"/>
      <c r="O90" s="561"/>
      <c r="P90" s="561"/>
      <c r="Q90" s="561"/>
      <c r="R90" s="561"/>
      <c r="S90" s="527"/>
    </row>
    <row r="91" spans="1:19" ht="15" hidden="1" customHeight="1" x14ac:dyDescent="0.25">
      <c r="A91" s="516"/>
      <c r="B91" s="762" t="s">
        <v>271</v>
      </c>
      <c r="C91" s="907"/>
      <c r="E91" s="724">
        <v>0</v>
      </c>
      <c r="F91" s="725">
        <v>0</v>
      </c>
      <c r="G91" s="890" t="e">
        <f t="shared" si="7"/>
        <v>#DIV/0!</v>
      </c>
      <c r="H91" s="511"/>
      <c r="I91" s="561"/>
      <c r="J91" s="561"/>
      <c r="K91" s="561"/>
      <c r="L91" s="561"/>
      <c r="M91" s="561"/>
      <c r="N91" s="561"/>
      <c r="O91" s="561"/>
      <c r="P91" s="561"/>
      <c r="Q91" s="561"/>
      <c r="R91" s="561"/>
      <c r="S91" s="527"/>
    </row>
    <row r="92" spans="1:19" ht="15" customHeight="1" x14ac:dyDescent="0.25">
      <c r="A92" s="516"/>
      <c r="B92" s="534" t="s">
        <v>272</v>
      </c>
      <c r="E92" s="729">
        <v>0</v>
      </c>
      <c r="F92" s="732">
        <v>106142.25</v>
      </c>
      <c r="G92" s="732">
        <v>106142.25</v>
      </c>
      <c r="H92" s="895">
        <v>7879</v>
      </c>
      <c r="I92" s="896">
        <v>6817</v>
      </c>
      <c r="J92" s="896">
        <v>7308</v>
      </c>
      <c r="K92" s="896">
        <v>7654.25</v>
      </c>
      <c r="L92" s="896">
        <v>7641.4</v>
      </c>
      <c r="M92" s="896"/>
      <c r="N92" s="512">
        <v>7636.25</v>
      </c>
      <c r="O92" s="965">
        <v>7648.7</v>
      </c>
      <c r="P92" s="512">
        <v>8548.2999999999993</v>
      </c>
      <c r="Q92" s="512">
        <v>8025.4</v>
      </c>
      <c r="R92" s="512">
        <v>7761.3</v>
      </c>
      <c r="S92" s="527"/>
    </row>
    <row r="93" spans="1:19" ht="15" customHeight="1" x14ac:dyDescent="0.25">
      <c r="A93" s="516"/>
      <c r="B93" s="534" t="s">
        <v>317</v>
      </c>
      <c r="D93" s="875" t="s">
        <v>384</v>
      </c>
      <c r="E93" s="937"/>
      <c r="F93" s="890">
        <v>186</v>
      </c>
      <c r="G93" s="890">
        <f t="shared" si="7"/>
        <v>188</v>
      </c>
      <c r="H93" s="832">
        <v>188</v>
      </c>
      <c r="I93" s="847">
        <v>188</v>
      </c>
      <c r="J93" s="846">
        <v>188</v>
      </c>
      <c r="K93" s="561">
        <v>188</v>
      </c>
      <c r="L93" s="561">
        <v>188</v>
      </c>
      <c r="M93" s="561">
        <v>188</v>
      </c>
      <c r="N93" s="561">
        <v>188</v>
      </c>
      <c r="O93" s="561">
        <v>188</v>
      </c>
      <c r="P93" s="561">
        <v>188</v>
      </c>
      <c r="Q93" s="561">
        <v>188</v>
      </c>
      <c r="R93" s="561">
        <v>188</v>
      </c>
      <c r="S93" s="527">
        <v>188</v>
      </c>
    </row>
    <row r="94" spans="1:19" ht="15" customHeight="1" x14ac:dyDescent="0.25">
      <c r="A94" s="516"/>
      <c r="B94" s="762" t="s">
        <v>270</v>
      </c>
      <c r="C94" s="907"/>
      <c r="E94" s="726">
        <v>0</v>
      </c>
      <c r="F94" s="727">
        <v>19</v>
      </c>
      <c r="G94" s="728"/>
      <c r="H94" s="511">
        <v>0</v>
      </c>
      <c r="I94" s="561">
        <v>0</v>
      </c>
      <c r="J94" s="561">
        <v>0</v>
      </c>
      <c r="K94" s="561">
        <v>0</v>
      </c>
      <c r="L94" s="561">
        <v>0</v>
      </c>
      <c r="M94" s="561">
        <v>0</v>
      </c>
      <c r="N94" s="561">
        <v>0</v>
      </c>
      <c r="O94" s="561">
        <v>3</v>
      </c>
      <c r="P94" s="561">
        <v>2</v>
      </c>
      <c r="Q94" s="561">
        <v>9</v>
      </c>
      <c r="R94" s="561">
        <v>2</v>
      </c>
      <c r="S94" s="527">
        <v>0</v>
      </c>
    </row>
    <row r="95" spans="1:19" ht="15" customHeight="1" x14ac:dyDescent="0.25">
      <c r="A95" s="516"/>
      <c r="B95" s="761" t="s">
        <v>271</v>
      </c>
      <c r="C95" s="907"/>
      <c r="E95" s="729">
        <v>0</v>
      </c>
      <c r="F95" s="732">
        <v>11</v>
      </c>
      <c r="G95" s="730"/>
      <c r="H95" s="511">
        <v>2</v>
      </c>
      <c r="I95" s="561">
        <v>2</v>
      </c>
      <c r="J95" s="561">
        <v>0</v>
      </c>
      <c r="K95" s="561">
        <v>2</v>
      </c>
      <c r="L95" s="561">
        <v>0</v>
      </c>
      <c r="M95" s="561">
        <v>3</v>
      </c>
      <c r="N95" s="561">
        <v>1</v>
      </c>
      <c r="O95" s="561">
        <v>3</v>
      </c>
      <c r="P95" s="561">
        <v>1</v>
      </c>
      <c r="Q95" s="561">
        <v>1</v>
      </c>
      <c r="R95" s="561">
        <v>1</v>
      </c>
      <c r="S95" s="527">
        <v>1</v>
      </c>
    </row>
    <row r="96" spans="1:19" s="750" customFormat="1" ht="15" hidden="1" customHeight="1" x14ac:dyDescent="0.25">
      <c r="A96" s="746"/>
      <c r="B96" s="522" t="s">
        <v>32</v>
      </c>
      <c r="D96" s="875"/>
      <c r="E96" s="792"/>
      <c r="F96" s="793"/>
      <c r="G96" s="794"/>
      <c r="H96" s="795">
        <v>1</v>
      </c>
      <c r="I96" s="796">
        <v>0</v>
      </c>
      <c r="J96" s="797"/>
      <c r="K96" s="796"/>
      <c r="L96" s="796"/>
      <c r="M96" s="796"/>
      <c r="N96" s="796"/>
      <c r="O96" s="796"/>
      <c r="P96" s="796"/>
      <c r="Q96" s="796"/>
      <c r="R96" s="796"/>
      <c r="S96" s="798"/>
    </row>
    <row r="97" spans="1:19" s="750" customFormat="1" ht="15" hidden="1" customHeight="1" x14ac:dyDescent="0.25">
      <c r="A97" s="746"/>
      <c r="B97" s="514" t="s">
        <v>33</v>
      </c>
      <c r="D97" s="875"/>
      <c r="E97" s="792"/>
      <c r="F97" s="793"/>
      <c r="G97" s="794"/>
      <c r="H97" s="799">
        <v>-2</v>
      </c>
      <c r="I97" s="800">
        <v>-1</v>
      </c>
      <c r="J97" s="801"/>
      <c r="K97" s="800"/>
      <c r="L97" s="800"/>
      <c r="M97" s="800"/>
      <c r="N97" s="800"/>
      <c r="O97" s="800"/>
      <c r="P97" s="800"/>
      <c r="Q97" s="800"/>
      <c r="R97" s="800"/>
      <c r="S97" s="802"/>
    </row>
    <row r="98" spans="1:19" s="655" customFormat="1" ht="15.95" customHeight="1" x14ac:dyDescent="0.25">
      <c r="A98" s="654"/>
      <c r="B98" s="1079" t="s">
        <v>383</v>
      </c>
      <c r="C98" s="1080"/>
      <c r="D98" s="1080"/>
      <c r="E98" s="1080"/>
      <c r="F98" s="1080"/>
      <c r="G98" s="1080"/>
      <c r="H98" s="1080"/>
      <c r="I98" s="1082"/>
      <c r="J98" s="1080"/>
      <c r="K98" s="1080"/>
      <c r="L98" s="1080"/>
      <c r="M98" s="1080"/>
      <c r="N98" s="1080"/>
      <c r="O98" s="1080"/>
      <c r="P98" s="1080"/>
      <c r="Q98" s="1080"/>
      <c r="R98" s="1080"/>
      <c r="S98" s="1081"/>
    </row>
    <row r="99" spans="1:19" ht="15" customHeight="1" x14ac:dyDescent="0.25">
      <c r="A99" s="516"/>
      <c r="B99" s="563" t="s">
        <v>318</v>
      </c>
      <c r="C99" s="912"/>
      <c r="D99" s="879"/>
      <c r="E99" s="697">
        <f>'FY 19'!G97</f>
        <v>2219</v>
      </c>
      <c r="F99" s="529">
        <v>1358</v>
      </c>
      <c r="G99" s="518">
        <f>SUM(H99:S99)</f>
        <v>1892</v>
      </c>
      <c r="H99" s="507">
        <v>163</v>
      </c>
      <c r="I99" s="844">
        <v>166</v>
      </c>
      <c r="J99" s="629">
        <v>168</v>
      </c>
      <c r="K99" s="561">
        <v>167</v>
      </c>
      <c r="L99" s="561">
        <v>180</v>
      </c>
      <c r="M99" s="561">
        <v>182</v>
      </c>
      <c r="N99" s="512">
        <v>178</v>
      </c>
      <c r="O99" s="561">
        <v>176</v>
      </c>
      <c r="P99" s="512">
        <v>174</v>
      </c>
      <c r="Q99" s="512">
        <v>169</v>
      </c>
      <c r="R99" s="561">
        <v>169</v>
      </c>
      <c r="S99" s="532"/>
    </row>
    <row r="100" spans="1:19" ht="15" customHeight="1" x14ac:dyDescent="0.25">
      <c r="A100" s="516"/>
      <c r="B100" s="522" t="s">
        <v>319</v>
      </c>
      <c r="C100" s="903"/>
      <c r="D100" s="872"/>
      <c r="E100" s="672">
        <f>'FY 19'!G98</f>
        <v>2418</v>
      </c>
      <c r="F100" s="530">
        <v>1317</v>
      </c>
      <c r="G100" s="518">
        <f>SUM(H100:S100)</f>
        <v>2033</v>
      </c>
      <c r="H100" s="841">
        <v>174</v>
      </c>
      <c r="I100" s="843">
        <v>175</v>
      </c>
      <c r="J100" s="630">
        <v>181</v>
      </c>
      <c r="K100" s="807">
        <v>183</v>
      </c>
      <c r="L100" s="807">
        <v>192</v>
      </c>
      <c r="M100" s="807">
        <v>186</v>
      </c>
      <c r="N100" s="520">
        <v>194</v>
      </c>
      <c r="O100" s="807">
        <v>185</v>
      </c>
      <c r="P100" s="520">
        <v>183</v>
      </c>
      <c r="Q100" s="520">
        <v>185</v>
      </c>
      <c r="R100" s="561">
        <v>195</v>
      </c>
      <c r="S100" s="532"/>
    </row>
    <row r="101" spans="1:19" ht="15" customHeight="1" x14ac:dyDescent="0.25">
      <c r="A101" s="516"/>
      <c r="B101" s="522" t="s">
        <v>320</v>
      </c>
      <c r="C101" s="750"/>
      <c r="E101" s="726">
        <v>0</v>
      </c>
      <c r="F101" s="727">
        <v>2487</v>
      </c>
      <c r="G101" s="733">
        <f>SUM(H101:S101)</f>
        <v>2696</v>
      </c>
      <c r="H101" s="841">
        <v>458</v>
      </c>
      <c r="I101" s="822">
        <v>458</v>
      </c>
      <c r="J101" s="964">
        <v>308</v>
      </c>
      <c r="K101" s="520">
        <v>257</v>
      </c>
      <c r="L101" s="807">
        <v>203</v>
      </c>
      <c r="M101" s="520">
        <v>176</v>
      </c>
      <c r="N101" s="520">
        <v>210</v>
      </c>
      <c r="O101" s="807">
        <v>113</v>
      </c>
      <c r="P101" s="520">
        <v>193</v>
      </c>
      <c r="Q101" s="520">
        <v>185</v>
      </c>
      <c r="R101" s="561">
        <v>135</v>
      </c>
      <c r="S101" s="532"/>
    </row>
    <row r="102" spans="1:19" ht="15" hidden="1" customHeight="1" x14ac:dyDescent="0.25">
      <c r="A102" s="516"/>
      <c r="B102" s="803" t="s">
        <v>32</v>
      </c>
      <c r="C102" s="913"/>
      <c r="E102" s="804"/>
      <c r="F102" s="805"/>
      <c r="G102" s="806"/>
      <c r="H102" s="519">
        <v>13</v>
      </c>
      <c r="I102" s="512"/>
      <c r="J102" s="520"/>
      <c r="K102" s="520"/>
      <c r="L102" s="520"/>
      <c r="M102" s="520"/>
      <c r="N102" s="520"/>
      <c r="O102" s="520"/>
      <c r="P102" s="520"/>
      <c r="Q102" s="520"/>
      <c r="R102" s="807"/>
      <c r="S102" s="532"/>
    </row>
    <row r="103" spans="1:19" ht="15" hidden="1" customHeight="1" x14ac:dyDescent="0.25">
      <c r="A103" s="516"/>
      <c r="B103" s="808" t="s">
        <v>33</v>
      </c>
      <c r="C103" s="913"/>
      <c r="E103" s="809"/>
      <c r="F103" s="810"/>
      <c r="G103" s="811"/>
      <c r="H103" s="524">
        <v>-208</v>
      </c>
      <c r="I103" s="525"/>
      <c r="J103" s="525"/>
      <c r="K103" s="525"/>
      <c r="L103" s="525"/>
      <c r="M103" s="525"/>
      <c r="N103" s="525"/>
      <c r="O103" s="525"/>
      <c r="P103" s="525"/>
      <c r="Q103" s="525"/>
      <c r="R103" s="812"/>
      <c r="S103" s="560"/>
    </row>
    <row r="104" spans="1:19" ht="15" hidden="1" customHeight="1" x14ac:dyDescent="0.25">
      <c r="A104" s="516"/>
      <c r="B104" s="1073" t="s">
        <v>163</v>
      </c>
      <c r="C104" s="1074"/>
      <c r="D104" s="1074"/>
      <c r="E104" s="1074"/>
      <c r="F104" s="1074"/>
      <c r="G104" s="1074"/>
      <c r="H104" s="1074"/>
      <c r="I104" s="1074"/>
      <c r="J104" s="1074"/>
      <c r="K104" s="1074"/>
      <c r="L104" s="1074"/>
      <c r="M104" s="1074"/>
      <c r="N104" s="1074"/>
      <c r="O104" s="1074"/>
      <c r="P104" s="1074"/>
      <c r="Q104" s="1074"/>
      <c r="R104" s="1074"/>
      <c r="S104" s="1075"/>
    </row>
    <row r="105" spans="1:19" ht="15" hidden="1" customHeight="1" x14ac:dyDescent="0.25">
      <c r="A105" s="516"/>
      <c r="B105" s="813" t="s">
        <v>164</v>
      </c>
      <c r="C105" s="750"/>
      <c r="E105" s="804"/>
      <c r="F105" s="805"/>
      <c r="G105" s="814">
        <v>17</v>
      </c>
      <c r="H105" s="629">
        <v>17</v>
      </c>
      <c r="I105" s="512"/>
      <c r="J105" s="512"/>
      <c r="K105" s="512"/>
      <c r="L105" s="512"/>
      <c r="M105" s="512"/>
      <c r="N105" s="512"/>
      <c r="O105" s="512"/>
      <c r="P105" s="512"/>
      <c r="Q105" s="512"/>
      <c r="R105" s="561"/>
      <c r="S105" s="532"/>
    </row>
    <row r="106" spans="1:19" ht="15" hidden="1" customHeight="1" x14ac:dyDescent="0.25">
      <c r="A106" s="516"/>
      <c r="B106" s="815" t="s">
        <v>165</v>
      </c>
      <c r="C106" s="914"/>
      <c r="D106" s="880"/>
      <c r="E106" s="809"/>
      <c r="F106" s="810"/>
      <c r="G106" s="816">
        <v>23</v>
      </c>
      <c r="H106" s="817">
        <v>23</v>
      </c>
      <c r="I106" s="818"/>
      <c r="J106" s="818"/>
      <c r="K106" s="818"/>
      <c r="L106" s="818"/>
      <c r="M106" s="818"/>
      <c r="N106" s="818"/>
      <c r="O106" s="818"/>
      <c r="P106" s="818"/>
      <c r="Q106" s="818"/>
      <c r="R106" s="819"/>
      <c r="S106" s="820"/>
    </row>
    <row r="107" spans="1:19" s="655" customFormat="1" ht="15.95" customHeight="1" x14ac:dyDescent="0.25">
      <c r="A107" s="654"/>
      <c r="B107" s="1051" t="s">
        <v>59</v>
      </c>
      <c r="C107" s="1052"/>
      <c r="D107" s="1052"/>
      <c r="E107" s="1052"/>
      <c r="F107" s="1052"/>
      <c r="G107" s="1052"/>
      <c r="H107" s="1052"/>
      <c r="I107" s="1052"/>
      <c r="J107" s="1052"/>
      <c r="K107" s="1052"/>
      <c r="L107" s="1052"/>
      <c r="M107" s="1052"/>
      <c r="N107" s="1052"/>
      <c r="O107" s="1052"/>
      <c r="P107" s="1052"/>
      <c r="Q107" s="1052"/>
      <c r="R107" s="1052"/>
      <c r="S107" s="1053"/>
    </row>
    <row r="108" spans="1:19" s="750" customFormat="1" ht="15" customHeight="1" x14ac:dyDescent="0.25">
      <c r="A108" s="746"/>
      <c r="B108" s="509" t="s">
        <v>321</v>
      </c>
      <c r="C108" s="902"/>
      <c r="D108" s="871"/>
      <c r="E108" s="706">
        <v>8862</v>
      </c>
      <c r="F108" s="707">
        <v>4505</v>
      </c>
      <c r="G108" s="510">
        <f t="shared" ref="G108:G116" si="8">SUM(H108:S108)</f>
        <v>3156</v>
      </c>
      <c r="H108" s="747">
        <v>187</v>
      </c>
      <c r="I108" s="748">
        <v>200</v>
      </c>
      <c r="J108" s="748">
        <v>340</v>
      </c>
      <c r="K108" s="748">
        <v>310</v>
      </c>
      <c r="L108" s="748">
        <v>322</v>
      </c>
      <c r="M108" s="748">
        <v>503</v>
      </c>
      <c r="N108" s="748">
        <v>463</v>
      </c>
      <c r="O108" s="748">
        <v>303</v>
      </c>
      <c r="P108" s="748">
        <v>275</v>
      </c>
      <c r="Q108" s="748">
        <v>69</v>
      </c>
      <c r="R108" s="748">
        <v>87</v>
      </c>
      <c r="S108" s="749">
        <v>97</v>
      </c>
    </row>
    <row r="109" spans="1:19" s="750" customFormat="1" ht="15" customHeight="1" x14ac:dyDescent="0.25">
      <c r="A109" s="746"/>
      <c r="B109" s="762" t="s">
        <v>322</v>
      </c>
      <c r="C109" s="910"/>
      <c r="D109" s="873"/>
      <c r="E109" s="706">
        <v>5848</v>
      </c>
      <c r="F109" s="707">
        <v>2809</v>
      </c>
      <c r="G109" s="523">
        <f t="shared" si="8"/>
        <v>1665</v>
      </c>
      <c r="H109" s="747">
        <v>63</v>
      </c>
      <c r="I109" s="748">
        <v>141</v>
      </c>
      <c r="J109" s="748">
        <v>229</v>
      </c>
      <c r="K109" s="748">
        <v>198</v>
      </c>
      <c r="L109" s="748">
        <v>215</v>
      </c>
      <c r="M109" s="748">
        <v>187</v>
      </c>
      <c r="N109" s="748">
        <v>166</v>
      </c>
      <c r="O109" s="748">
        <v>175</v>
      </c>
      <c r="P109" s="748">
        <v>166</v>
      </c>
      <c r="Q109" s="748">
        <v>26</v>
      </c>
      <c r="R109" s="748">
        <v>32</v>
      </c>
      <c r="S109" s="749">
        <v>67</v>
      </c>
    </row>
    <row r="110" spans="1:19" s="750" customFormat="1" ht="15" customHeight="1" x14ac:dyDescent="0.25">
      <c r="A110" s="746"/>
      <c r="B110" s="762" t="s">
        <v>323</v>
      </c>
      <c r="C110" s="910"/>
      <c r="D110" s="873"/>
      <c r="E110" s="706">
        <v>347</v>
      </c>
      <c r="F110" s="707">
        <v>125</v>
      </c>
      <c r="G110" s="523">
        <f>SUM(H110:S110)</f>
        <v>30</v>
      </c>
      <c r="H110" s="747">
        <v>1</v>
      </c>
      <c r="I110" s="748">
        <v>5</v>
      </c>
      <c r="J110" s="748">
        <v>4</v>
      </c>
      <c r="K110" s="748">
        <v>2</v>
      </c>
      <c r="L110" s="748">
        <v>2</v>
      </c>
      <c r="M110" s="748">
        <v>6</v>
      </c>
      <c r="N110" s="748">
        <v>0</v>
      </c>
      <c r="O110" s="748">
        <v>2</v>
      </c>
      <c r="P110" s="748">
        <v>1</v>
      </c>
      <c r="Q110" s="748">
        <v>0</v>
      </c>
      <c r="R110" s="748">
        <v>6</v>
      </c>
      <c r="S110" s="749">
        <v>1</v>
      </c>
    </row>
    <row r="111" spans="1:19" s="750" customFormat="1" ht="15" customHeight="1" x14ac:dyDescent="0.25">
      <c r="A111" s="746"/>
      <c r="B111" s="762" t="s">
        <v>324</v>
      </c>
      <c r="C111" s="910"/>
      <c r="D111" s="873"/>
      <c r="E111" s="706">
        <v>10</v>
      </c>
      <c r="F111" s="707">
        <v>18</v>
      </c>
      <c r="G111" s="523">
        <f t="shared" si="8"/>
        <v>18</v>
      </c>
      <c r="H111" s="947">
        <v>3</v>
      </c>
      <c r="I111" s="748">
        <v>1</v>
      </c>
      <c r="J111" s="748">
        <v>0</v>
      </c>
      <c r="K111" s="748">
        <v>1</v>
      </c>
      <c r="L111" s="748">
        <v>2</v>
      </c>
      <c r="M111" s="748">
        <v>0</v>
      </c>
      <c r="N111" s="748">
        <v>2</v>
      </c>
      <c r="O111" s="748">
        <v>0</v>
      </c>
      <c r="P111" s="748">
        <v>0</v>
      </c>
      <c r="Q111" s="748">
        <v>0</v>
      </c>
      <c r="R111" s="748">
        <v>9</v>
      </c>
      <c r="S111" s="749">
        <v>0</v>
      </c>
    </row>
    <row r="112" spans="1:19" s="750" customFormat="1" ht="15" customHeight="1" x14ac:dyDescent="0.25">
      <c r="A112" s="746"/>
      <c r="B112" s="762" t="s">
        <v>325</v>
      </c>
      <c r="C112" s="910"/>
      <c r="D112" s="873"/>
      <c r="E112" s="706">
        <v>1532</v>
      </c>
      <c r="F112" s="707">
        <v>920</v>
      </c>
      <c r="G112" s="523">
        <f t="shared" si="8"/>
        <v>1195</v>
      </c>
      <c r="H112" s="747">
        <v>100</v>
      </c>
      <c r="I112" s="748">
        <v>6</v>
      </c>
      <c r="J112" s="748">
        <v>79</v>
      </c>
      <c r="K112" s="748">
        <v>94</v>
      </c>
      <c r="L112" s="748">
        <v>85</v>
      </c>
      <c r="M112" s="748">
        <v>290</v>
      </c>
      <c r="N112" s="748">
        <v>280</v>
      </c>
      <c r="O112" s="748">
        <v>113</v>
      </c>
      <c r="P112" s="748">
        <v>87</v>
      </c>
      <c r="Q112" s="748">
        <v>22</v>
      </c>
      <c r="R112" s="748">
        <v>23</v>
      </c>
      <c r="S112" s="749">
        <v>16</v>
      </c>
    </row>
    <row r="113" spans="1:19" s="750" customFormat="1" ht="15" customHeight="1" x14ac:dyDescent="0.25">
      <c r="A113" s="746"/>
      <c r="B113" s="762" t="s">
        <v>326</v>
      </c>
      <c r="C113" s="910"/>
      <c r="D113" s="873"/>
      <c r="E113" s="706">
        <v>913</v>
      </c>
      <c r="F113" s="707">
        <v>419</v>
      </c>
      <c r="G113" s="523">
        <f t="shared" si="8"/>
        <v>18</v>
      </c>
      <c r="H113" s="747">
        <v>0</v>
      </c>
      <c r="I113" s="748">
        <v>6</v>
      </c>
      <c r="J113" s="748">
        <v>3</v>
      </c>
      <c r="K113" s="748">
        <v>1</v>
      </c>
      <c r="L113" s="748">
        <v>0</v>
      </c>
      <c r="M113" s="748">
        <v>2</v>
      </c>
      <c r="N113" s="748">
        <v>2</v>
      </c>
      <c r="O113" s="748">
        <v>0</v>
      </c>
      <c r="P113" s="748">
        <v>1</v>
      </c>
      <c r="Q113" s="748">
        <v>0</v>
      </c>
      <c r="R113" s="748">
        <v>0</v>
      </c>
      <c r="S113" s="749">
        <v>3</v>
      </c>
    </row>
    <row r="114" spans="1:19" s="750" customFormat="1" ht="15" customHeight="1" x14ac:dyDescent="0.25">
      <c r="A114" s="746"/>
      <c r="B114" s="762" t="s">
        <v>327</v>
      </c>
      <c r="C114" s="910"/>
      <c r="D114" s="873"/>
      <c r="E114" s="706">
        <v>94</v>
      </c>
      <c r="F114" s="707">
        <v>71</v>
      </c>
      <c r="G114" s="523">
        <f t="shared" si="8"/>
        <v>65</v>
      </c>
      <c r="H114" s="747">
        <v>11</v>
      </c>
      <c r="I114" s="748">
        <v>6</v>
      </c>
      <c r="J114" s="748">
        <v>7</v>
      </c>
      <c r="K114" s="748">
        <v>6</v>
      </c>
      <c r="L114" s="748">
        <v>2</v>
      </c>
      <c r="M114" s="748">
        <v>9</v>
      </c>
      <c r="N114" s="748">
        <v>0</v>
      </c>
      <c r="O114" s="748">
        <v>0</v>
      </c>
      <c r="P114" s="748">
        <v>4</v>
      </c>
      <c r="Q114" s="748">
        <v>11</v>
      </c>
      <c r="R114" s="748">
        <v>2</v>
      </c>
      <c r="S114" s="749">
        <v>7</v>
      </c>
    </row>
    <row r="115" spans="1:19" s="750" customFormat="1" ht="15" customHeight="1" x14ac:dyDescent="0.25">
      <c r="A115" s="746"/>
      <c r="B115" s="760" t="s">
        <v>328</v>
      </c>
      <c r="C115" s="905"/>
      <c r="D115" s="874"/>
      <c r="E115" s="706">
        <v>78</v>
      </c>
      <c r="F115" s="707">
        <v>92</v>
      </c>
      <c r="G115" s="523">
        <f t="shared" si="8"/>
        <v>123</v>
      </c>
      <c r="H115" s="747">
        <v>1</v>
      </c>
      <c r="I115" s="748">
        <v>35</v>
      </c>
      <c r="J115" s="748">
        <v>18</v>
      </c>
      <c r="K115" s="748">
        <v>8</v>
      </c>
      <c r="L115" s="748">
        <v>13</v>
      </c>
      <c r="M115" s="748">
        <v>3</v>
      </c>
      <c r="N115" s="748">
        <v>9</v>
      </c>
      <c r="O115" s="748">
        <v>9</v>
      </c>
      <c r="P115" s="748">
        <v>13</v>
      </c>
      <c r="Q115" s="748">
        <v>7</v>
      </c>
      <c r="R115" s="748">
        <v>4</v>
      </c>
      <c r="S115" s="749">
        <v>3</v>
      </c>
    </row>
    <row r="116" spans="1:19" s="750" customFormat="1" ht="15" customHeight="1" x14ac:dyDescent="0.25">
      <c r="A116" s="746"/>
      <c r="B116" s="759" t="s">
        <v>329</v>
      </c>
      <c r="C116" s="915"/>
      <c r="D116" s="881"/>
      <c r="E116" s="706">
        <v>141</v>
      </c>
      <c r="F116" s="707">
        <v>51</v>
      </c>
      <c r="G116" s="542">
        <f t="shared" si="8"/>
        <v>56</v>
      </c>
      <c r="H116" s="747">
        <v>4</v>
      </c>
      <c r="I116" s="748">
        <v>2</v>
      </c>
      <c r="J116" s="748">
        <v>9</v>
      </c>
      <c r="K116" s="748">
        <v>7</v>
      </c>
      <c r="L116" s="748">
        <v>3</v>
      </c>
      <c r="M116" s="748">
        <v>6</v>
      </c>
      <c r="N116" s="748">
        <v>4</v>
      </c>
      <c r="O116" s="748">
        <v>4</v>
      </c>
      <c r="P116" s="748">
        <v>3</v>
      </c>
      <c r="Q116" s="748">
        <v>3</v>
      </c>
      <c r="R116" s="748">
        <v>11</v>
      </c>
      <c r="S116" s="749">
        <v>0</v>
      </c>
    </row>
    <row r="117" spans="1:19" s="655" customFormat="1" ht="15.95" customHeight="1" x14ac:dyDescent="0.25">
      <c r="A117" s="654"/>
      <c r="B117" s="1054" t="s">
        <v>265</v>
      </c>
      <c r="C117" s="1055"/>
      <c r="D117" s="1055"/>
      <c r="E117" s="1055"/>
      <c r="F117" s="1055"/>
      <c r="G117" s="1055"/>
      <c r="H117" s="1055"/>
      <c r="I117" s="1055"/>
      <c r="J117" s="1055"/>
      <c r="K117" s="1055"/>
      <c r="L117" s="1055"/>
      <c r="M117" s="1055"/>
      <c r="N117" s="1055"/>
      <c r="O117" s="1055"/>
      <c r="P117" s="1055"/>
      <c r="Q117" s="1055"/>
      <c r="R117" s="1055"/>
      <c r="S117" s="1056"/>
    </row>
    <row r="118" spans="1:19" s="655" customFormat="1" ht="15.95" customHeight="1" x14ac:dyDescent="0.25">
      <c r="A118" s="654"/>
      <c r="B118" s="1057" t="s">
        <v>73</v>
      </c>
      <c r="C118" s="1058"/>
      <c r="D118" s="1058"/>
      <c r="E118" s="1058"/>
      <c r="F118" s="1058"/>
      <c r="G118" s="1058"/>
      <c r="H118" s="1058"/>
      <c r="I118" s="1058"/>
      <c r="J118" s="1058"/>
      <c r="K118" s="1058"/>
      <c r="L118" s="1058"/>
      <c r="M118" s="1058"/>
      <c r="N118" s="1058"/>
      <c r="O118" s="1058"/>
      <c r="P118" s="1058"/>
      <c r="Q118" s="1058"/>
      <c r="R118" s="1058"/>
      <c r="S118" s="1059"/>
    </row>
    <row r="119" spans="1:19" ht="15" customHeight="1" x14ac:dyDescent="0.25">
      <c r="A119" s="516"/>
      <c r="B119" s="522" t="s">
        <v>330</v>
      </c>
      <c r="C119" s="750"/>
      <c r="D119" s="921" t="s">
        <v>384</v>
      </c>
      <c r="E119" s="945">
        <f>'FY 19'!G120</f>
        <v>118</v>
      </c>
      <c r="F119" s="959">
        <v>126.57142857142857</v>
      </c>
      <c r="G119" s="715">
        <f>AVERAGE(H119:S119)</f>
        <v>120.41666666666667</v>
      </c>
      <c r="H119" s="564">
        <v>119</v>
      </c>
      <c r="I119" s="835">
        <v>126</v>
      </c>
      <c r="J119" s="565">
        <v>126</v>
      </c>
      <c r="K119" s="565">
        <v>126</v>
      </c>
      <c r="L119" s="565">
        <v>126</v>
      </c>
      <c r="M119" s="565">
        <v>140</v>
      </c>
      <c r="N119" s="565">
        <v>148</v>
      </c>
      <c r="O119" s="565">
        <v>99</v>
      </c>
      <c r="P119" s="565">
        <v>103</v>
      </c>
      <c r="Q119" s="565">
        <v>105</v>
      </c>
      <c r="R119" s="565">
        <v>105</v>
      </c>
      <c r="S119" s="567">
        <v>122</v>
      </c>
    </row>
    <row r="120" spans="1:19" ht="15" customHeight="1" x14ac:dyDescent="0.25">
      <c r="A120" s="516"/>
      <c r="B120" s="522" t="s">
        <v>331</v>
      </c>
      <c r="C120" s="750"/>
      <c r="D120" s="921" t="s">
        <v>384</v>
      </c>
      <c r="E120" s="945">
        <f>'FY 19'!G121</f>
        <v>42.363636363636367</v>
      </c>
      <c r="F120" s="959">
        <v>37</v>
      </c>
      <c r="G120" s="715">
        <f>AVERAGE(H120:S120)</f>
        <v>33.75</v>
      </c>
      <c r="H120" s="564">
        <v>50</v>
      </c>
      <c r="I120" s="835">
        <v>50</v>
      </c>
      <c r="J120" s="565">
        <v>50</v>
      </c>
      <c r="K120" s="565">
        <v>18</v>
      </c>
      <c r="L120" s="565">
        <v>18</v>
      </c>
      <c r="M120" s="565">
        <v>50</v>
      </c>
      <c r="N120" s="565">
        <v>50</v>
      </c>
      <c r="O120" s="565">
        <v>21</v>
      </c>
      <c r="P120" s="565">
        <v>23</v>
      </c>
      <c r="Q120" s="565">
        <v>25</v>
      </c>
      <c r="R120" s="565">
        <v>25</v>
      </c>
      <c r="S120" s="567">
        <v>25</v>
      </c>
    </row>
    <row r="121" spans="1:19" ht="13.5" customHeight="1" x14ac:dyDescent="0.25">
      <c r="A121" s="516"/>
      <c r="B121" s="534" t="s">
        <v>332</v>
      </c>
      <c r="D121" s="921" t="s">
        <v>384</v>
      </c>
      <c r="E121" s="945">
        <f>'FY 19'!G122</f>
        <v>672.63636363636363</v>
      </c>
      <c r="F121" s="959">
        <v>1330.2857142857142</v>
      </c>
      <c r="G121" s="715">
        <f>AVERAGE(H121:S121)</f>
        <v>103.16666666666667</v>
      </c>
      <c r="H121" s="564">
        <v>73</v>
      </c>
      <c r="I121" s="835">
        <v>88</v>
      </c>
      <c r="J121" s="565">
        <v>151</v>
      </c>
      <c r="K121" s="565">
        <v>123</v>
      </c>
      <c r="L121" s="565">
        <v>291</v>
      </c>
      <c r="M121" s="565">
        <v>229</v>
      </c>
      <c r="N121" s="565">
        <v>240</v>
      </c>
      <c r="O121" s="565">
        <v>0</v>
      </c>
      <c r="P121" s="565">
        <v>10</v>
      </c>
      <c r="Q121" s="565">
        <v>11</v>
      </c>
      <c r="R121" s="565">
        <v>11</v>
      </c>
      <c r="S121" s="567">
        <v>11</v>
      </c>
    </row>
    <row r="122" spans="1:19" ht="1.5" hidden="1" customHeight="1" x14ac:dyDescent="0.25">
      <c r="A122" s="516"/>
      <c r="B122" s="762" t="s">
        <v>270</v>
      </c>
      <c r="C122" s="907"/>
      <c r="E122" s="734">
        <v>0</v>
      </c>
      <c r="F122" s="735">
        <v>403</v>
      </c>
      <c r="G122" s="715">
        <f t="shared" ref="G122" si="9">AVERAGEIF(H122:S122,"&lt;&gt;0")</f>
        <v>74.400000000000006</v>
      </c>
      <c r="H122" s="564">
        <v>130</v>
      </c>
      <c r="I122" s="835" t="s">
        <v>144</v>
      </c>
      <c r="J122" s="565">
        <v>73</v>
      </c>
      <c r="K122" s="565">
        <v>90</v>
      </c>
      <c r="L122" s="565">
        <v>30</v>
      </c>
      <c r="M122" s="565">
        <v>49</v>
      </c>
      <c r="N122" s="565">
        <v>0</v>
      </c>
      <c r="O122" s="565">
        <v>0</v>
      </c>
      <c r="P122" s="565">
        <v>0</v>
      </c>
      <c r="Q122" s="565">
        <v>0</v>
      </c>
      <c r="R122" s="565">
        <v>0</v>
      </c>
      <c r="S122" s="567">
        <v>0</v>
      </c>
    </row>
    <row r="123" spans="1:19" ht="2.25" hidden="1" customHeight="1" x14ac:dyDescent="0.25">
      <c r="A123" s="516"/>
      <c r="B123" s="761" t="s">
        <v>271</v>
      </c>
      <c r="C123" s="907"/>
      <c r="E123" s="734">
        <v>0</v>
      </c>
      <c r="F123" s="735">
        <v>2006</v>
      </c>
      <c r="G123" s="716">
        <f t="shared" ref="G123" si="10">SUM(H123:S123)</f>
        <v>0</v>
      </c>
      <c r="H123" s="564">
        <v>0</v>
      </c>
      <c r="I123" s="836" t="s">
        <v>144</v>
      </c>
      <c r="J123" s="568" t="s">
        <v>144</v>
      </c>
      <c r="K123" s="568" t="s">
        <v>144</v>
      </c>
      <c r="L123" s="568" t="s">
        <v>144</v>
      </c>
      <c r="M123" s="568" t="s">
        <v>144</v>
      </c>
      <c r="N123" s="568">
        <v>0</v>
      </c>
      <c r="O123" s="568">
        <v>0</v>
      </c>
      <c r="P123" s="568">
        <v>0</v>
      </c>
      <c r="Q123" s="568">
        <v>0</v>
      </c>
      <c r="R123" s="568">
        <v>0</v>
      </c>
      <c r="S123" s="567">
        <v>0</v>
      </c>
    </row>
    <row r="124" spans="1:19" s="655" customFormat="1" ht="15.95" customHeight="1" x14ac:dyDescent="0.25">
      <c r="A124" s="654"/>
      <c r="B124" s="1060" t="s">
        <v>336</v>
      </c>
      <c r="C124" s="1061"/>
      <c r="D124" s="1061"/>
      <c r="E124" s="1061"/>
      <c r="F124" s="1061"/>
      <c r="G124" s="1061"/>
      <c r="H124" s="1061"/>
      <c r="I124" s="1061"/>
      <c r="J124" s="1061"/>
      <c r="K124" s="1061"/>
      <c r="L124" s="1061"/>
      <c r="M124" s="1061"/>
      <c r="N124" s="1061"/>
      <c r="O124" s="1061"/>
      <c r="P124" s="1061"/>
      <c r="Q124" s="1061"/>
      <c r="R124" s="1061"/>
      <c r="S124" s="1062"/>
    </row>
    <row r="125" spans="1:19" ht="15" customHeight="1" x14ac:dyDescent="0.25">
      <c r="A125" s="516"/>
      <c r="B125" s="536" t="s">
        <v>390</v>
      </c>
      <c r="E125" s="736">
        <v>0</v>
      </c>
      <c r="F125" s="737">
        <v>222633</v>
      </c>
      <c r="G125" s="738">
        <f>SUM(H125:S125)</f>
        <v>251652</v>
      </c>
      <c r="H125" s="537">
        <v>19568</v>
      </c>
      <c r="I125" s="538">
        <v>20169</v>
      </c>
      <c r="J125" s="538">
        <v>20644</v>
      </c>
      <c r="K125" s="538">
        <v>19730</v>
      </c>
      <c r="L125" s="538">
        <v>19582</v>
      </c>
      <c r="M125" s="538">
        <v>20271</v>
      </c>
      <c r="N125" s="538">
        <v>20881</v>
      </c>
      <c r="O125" s="538">
        <v>21455</v>
      </c>
      <c r="P125" s="538">
        <v>22006</v>
      </c>
      <c r="Q125" s="538">
        <v>22218</v>
      </c>
      <c r="R125" s="538">
        <v>22480</v>
      </c>
      <c r="S125" s="569">
        <v>22648</v>
      </c>
    </row>
    <row r="126" spans="1:19" ht="15" customHeight="1" x14ac:dyDescent="0.25">
      <c r="A126" s="516"/>
      <c r="B126" s="534" t="s">
        <v>333</v>
      </c>
      <c r="E126" s="736">
        <v>0</v>
      </c>
      <c r="F126" s="737">
        <v>412422</v>
      </c>
      <c r="G126" s="738">
        <f>SUM(H126:S126)</f>
        <v>487327</v>
      </c>
      <c r="H126" s="540">
        <v>38525</v>
      </c>
      <c r="I126" s="541">
        <v>39481</v>
      </c>
      <c r="J126" s="541">
        <v>40314</v>
      </c>
      <c r="K126" s="541">
        <v>38475</v>
      </c>
      <c r="L126" s="541">
        <v>38127</v>
      </c>
      <c r="M126" s="541">
        <v>39448</v>
      </c>
      <c r="N126" s="538">
        <v>40505</v>
      </c>
      <c r="O126" s="541">
        <v>41407</v>
      </c>
      <c r="P126" s="541">
        <v>42230</v>
      </c>
      <c r="Q126" s="541">
        <v>42591</v>
      </c>
      <c r="R126" s="541">
        <v>43024</v>
      </c>
      <c r="S126" s="539">
        <v>43200</v>
      </c>
    </row>
    <row r="127" spans="1:19" ht="15" hidden="1" customHeight="1" x14ac:dyDescent="0.25">
      <c r="A127" s="516"/>
      <c r="B127" s="535" t="s">
        <v>334</v>
      </c>
      <c r="E127" s="736">
        <v>0</v>
      </c>
      <c r="F127" s="737">
        <v>0</v>
      </c>
      <c r="G127" s="738">
        <f>SUM(H127:S127)</f>
        <v>0</v>
      </c>
      <c r="H127" s="570"/>
      <c r="I127" s="558"/>
      <c r="J127" s="558"/>
      <c r="K127" s="558"/>
      <c r="L127" s="558"/>
      <c r="M127" s="558"/>
      <c r="N127" s="538"/>
      <c r="O127" s="558"/>
      <c r="P127" s="558"/>
      <c r="Q127" s="558"/>
      <c r="R127" s="558"/>
      <c r="S127" s="571"/>
    </row>
    <row r="128" spans="1:19" ht="15" customHeight="1" x14ac:dyDescent="0.25">
      <c r="A128" s="516"/>
      <c r="B128" s="535" t="s">
        <v>335</v>
      </c>
      <c r="E128" s="736">
        <v>0</v>
      </c>
      <c r="F128" s="737">
        <v>56104956.780000001</v>
      </c>
      <c r="G128" s="738">
        <f>SUM(H128:S128)</f>
        <v>100355862</v>
      </c>
      <c r="H128" s="572">
        <v>7547267</v>
      </c>
      <c r="I128" s="573">
        <v>6942315</v>
      </c>
      <c r="J128" s="573">
        <v>7078150</v>
      </c>
      <c r="K128" s="573">
        <v>6988148</v>
      </c>
      <c r="L128" s="573">
        <v>7087759</v>
      </c>
      <c r="M128" s="573">
        <v>7186810</v>
      </c>
      <c r="N128" s="538">
        <v>8242685</v>
      </c>
      <c r="O128" s="573">
        <v>8455646</v>
      </c>
      <c r="P128" s="573">
        <v>9541468</v>
      </c>
      <c r="Q128" s="573">
        <v>9102443</v>
      </c>
      <c r="R128" s="573">
        <v>11709564</v>
      </c>
      <c r="S128" s="575">
        <v>10473607</v>
      </c>
    </row>
    <row r="129" spans="1:19" s="655" customFormat="1" ht="15.95" customHeight="1" x14ac:dyDescent="0.25">
      <c r="A129" s="654"/>
      <c r="B129" s="1060" t="s">
        <v>385</v>
      </c>
      <c r="C129" s="1061"/>
      <c r="D129" s="1061"/>
      <c r="E129" s="1061"/>
      <c r="F129" s="1061"/>
      <c r="G129" s="1061"/>
      <c r="H129" s="1061"/>
      <c r="I129" s="1061"/>
      <c r="J129" s="1061"/>
      <c r="K129" s="1061"/>
      <c r="L129" s="1061"/>
      <c r="M129" s="1061"/>
      <c r="N129" s="1061"/>
      <c r="O129" s="1061"/>
      <c r="P129" s="1061"/>
      <c r="Q129" s="1061"/>
      <c r="R129" s="1061"/>
      <c r="S129" s="1062"/>
    </row>
    <row r="130" spans="1:19" ht="12" customHeight="1" x14ac:dyDescent="0.25">
      <c r="A130" s="516"/>
      <c r="B130" s="536" t="s">
        <v>386</v>
      </c>
      <c r="E130" s="724">
        <v>0</v>
      </c>
      <c r="F130" s="725">
        <v>559666</v>
      </c>
      <c r="G130" s="739">
        <f>SUM(H130:S130)</f>
        <v>649388</v>
      </c>
      <c r="H130" s="821">
        <v>50732</v>
      </c>
      <c r="I130" s="538">
        <v>51504</v>
      </c>
      <c r="J130" s="831">
        <v>52005</v>
      </c>
      <c r="K130" s="831">
        <v>52564</v>
      </c>
      <c r="L130" s="831">
        <v>53023</v>
      </c>
      <c r="M130" s="538">
        <v>53600</v>
      </c>
      <c r="N130" s="538">
        <v>54069</v>
      </c>
      <c r="O130" s="538">
        <v>50655</v>
      </c>
      <c r="P130" s="538">
        <v>54537</v>
      </c>
      <c r="Q130" s="538">
        <v>56974</v>
      </c>
      <c r="R130" s="538">
        <v>58855</v>
      </c>
      <c r="S130" s="513">
        <v>60870</v>
      </c>
    </row>
    <row r="131" spans="1:19" ht="2.25" hidden="1" customHeight="1" x14ac:dyDescent="0.25">
      <c r="A131" s="516"/>
      <c r="B131" s="534" t="s">
        <v>337</v>
      </c>
      <c r="E131" s="724">
        <v>0</v>
      </c>
      <c r="F131" s="725">
        <v>12670</v>
      </c>
      <c r="G131" s="739">
        <f>SUM(H131:S131)</f>
        <v>0</v>
      </c>
      <c r="H131" s="524"/>
      <c r="I131" s="525"/>
      <c r="J131" s="525"/>
      <c r="K131" s="525"/>
      <c r="L131" s="525"/>
      <c r="M131" s="525"/>
      <c r="N131" s="512"/>
      <c r="O131" s="525"/>
      <c r="P131" s="525"/>
      <c r="Q131" s="525"/>
      <c r="R131" s="525"/>
      <c r="S131" s="521"/>
    </row>
    <row r="132" spans="1:19" ht="15" customHeight="1" x14ac:dyDescent="0.25">
      <c r="A132" s="516"/>
      <c r="B132" s="535" t="s">
        <v>338</v>
      </c>
      <c r="E132" s="724">
        <v>0</v>
      </c>
      <c r="F132" s="725">
        <v>7734</v>
      </c>
      <c r="G132" s="739">
        <f>SUM(H132:S132)</f>
        <v>6626</v>
      </c>
      <c r="H132" s="524">
        <v>624</v>
      </c>
      <c r="I132" s="525">
        <v>616</v>
      </c>
      <c r="J132" s="525">
        <v>622</v>
      </c>
      <c r="K132" s="525">
        <v>630</v>
      </c>
      <c r="L132" s="525">
        <v>627</v>
      </c>
      <c r="M132" s="525">
        <v>629</v>
      </c>
      <c r="N132" s="512">
        <v>627</v>
      </c>
      <c r="O132" s="525">
        <v>407</v>
      </c>
      <c r="P132" s="525">
        <v>445</v>
      </c>
      <c r="Q132" s="525">
        <v>460</v>
      </c>
      <c r="R132" s="525">
        <v>462</v>
      </c>
      <c r="S132" s="526">
        <v>477</v>
      </c>
    </row>
    <row r="133" spans="1:19" ht="25.5" x14ac:dyDescent="0.25">
      <c r="A133" s="516"/>
      <c r="B133" s="900" t="s">
        <v>370</v>
      </c>
      <c r="C133" s="916"/>
      <c r="D133" s="876"/>
      <c r="E133" s="724">
        <v>0</v>
      </c>
      <c r="F133" s="725">
        <v>1.8613464253625978</v>
      </c>
      <c r="G133" s="739">
        <f>SUM(H133:S133)</f>
        <v>2.1033640281126553</v>
      </c>
      <c r="H133" s="849">
        <f>SUM(H130:H132)/T176</f>
        <v>0.16466167342122814</v>
      </c>
      <c r="I133" s="849">
        <f>SUM(I130:I132)/T176</f>
        <v>0.16711127071256349</v>
      </c>
      <c r="J133" s="849">
        <f>SUM(J130:J132)/T176</f>
        <v>0.16873685425537371</v>
      </c>
      <c r="K133" s="849">
        <f>SUM(K130:K132)/T176</f>
        <v>0.17055481454881238</v>
      </c>
      <c r="L133" s="849">
        <f>SUM(L130:L132)/T176</f>
        <v>0.17201687785358846</v>
      </c>
      <c r="M133" s="849">
        <f>SUM(M130:M132)/T176</f>
        <v>0.17387331349715282</v>
      </c>
      <c r="N133" s="849">
        <f>SUM(N130:N132)/T176</f>
        <v>0.17537064587287746</v>
      </c>
      <c r="O133" s="849">
        <f>SUM(O130:O132)/T176</f>
        <v>0.16371902734314883</v>
      </c>
      <c r="P133" s="849">
        <f>SUM(P130:P132)/T176</f>
        <v>0.17628764171753963</v>
      </c>
      <c r="Q133" s="849">
        <f>SUM(Q130:Q132)/T176</f>
        <v>0.18414943825988817</v>
      </c>
      <c r="R133" s="849">
        <f>SUM(R130:R132)/T176</f>
        <v>0.19018686195044374</v>
      </c>
      <c r="S133" s="849">
        <f>SUM(S130:S132)/T176</f>
        <v>0.19669560868003899</v>
      </c>
    </row>
    <row r="134" spans="1:19" ht="15" customHeight="1" x14ac:dyDescent="0.25">
      <c r="A134" s="516"/>
      <c r="B134" s="901" t="s">
        <v>339</v>
      </c>
      <c r="C134" s="916"/>
      <c r="D134" s="876"/>
      <c r="E134" s="724">
        <v>0</v>
      </c>
      <c r="F134" s="740">
        <v>3850262</v>
      </c>
      <c r="G134" s="739">
        <f>SUM(H134:S134)</f>
        <v>2783953</v>
      </c>
      <c r="H134" s="578">
        <v>283593</v>
      </c>
      <c r="I134" s="579">
        <v>257963</v>
      </c>
      <c r="J134" s="579">
        <v>264157</v>
      </c>
      <c r="K134" s="579">
        <v>263504</v>
      </c>
      <c r="L134" s="579">
        <v>256859</v>
      </c>
      <c r="M134" s="579">
        <v>261071</v>
      </c>
      <c r="N134" s="600">
        <v>236793</v>
      </c>
      <c r="O134" s="579">
        <v>175493</v>
      </c>
      <c r="P134" s="579">
        <v>188676</v>
      </c>
      <c r="Q134" s="579">
        <v>195344</v>
      </c>
      <c r="R134" s="579">
        <v>204144</v>
      </c>
      <c r="S134" s="580">
        <v>196356</v>
      </c>
    </row>
    <row r="135" spans="1:19" ht="15" customHeight="1" x14ac:dyDescent="0.25">
      <c r="A135" s="516"/>
      <c r="B135" s="901" t="s">
        <v>387</v>
      </c>
      <c r="C135" s="916"/>
      <c r="D135" s="876"/>
      <c r="E135" s="729"/>
      <c r="F135" s="732"/>
      <c r="G135" s="897"/>
      <c r="H135" s="899" t="s">
        <v>397</v>
      </c>
      <c r="I135" s="899" t="s">
        <v>397</v>
      </c>
      <c r="J135" s="899" t="s">
        <v>397</v>
      </c>
      <c r="K135" s="899" t="s">
        <v>397</v>
      </c>
      <c r="L135" s="899" t="s">
        <v>397</v>
      </c>
      <c r="M135" s="899" t="s">
        <v>397</v>
      </c>
      <c r="N135" s="899" t="s">
        <v>397</v>
      </c>
      <c r="O135" s="899" t="s">
        <v>397</v>
      </c>
      <c r="P135" s="899" t="s">
        <v>397</v>
      </c>
      <c r="Q135" s="899" t="s">
        <v>397</v>
      </c>
      <c r="R135" s="899" t="s">
        <v>397</v>
      </c>
      <c r="S135" s="899" t="s">
        <v>397</v>
      </c>
    </row>
    <row r="136" spans="1:19" s="655" customFormat="1" ht="15.75" customHeight="1" x14ac:dyDescent="0.25">
      <c r="A136" s="654"/>
      <c r="B136" s="1063" t="s">
        <v>88</v>
      </c>
      <c r="C136" s="1064"/>
      <c r="D136" s="1064"/>
      <c r="E136" s="1064"/>
      <c r="F136" s="1064"/>
      <c r="G136" s="1064"/>
      <c r="H136" s="1064"/>
      <c r="I136" s="1064"/>
      <c r="J136" s="1064"/>
      <c r="K136" s="1064"/>
      <c r="L136" s="1064"/>
      <c r="M136" s="1064"/>
      <c r="N136" s="1064"/>
      <c r="O136" s="1064"/>
      <c r="P136" s="1064"/>
      <c r="Q136" s="1064"/>
      <c r="R136" s="1064"/>
      <c r="S136" s="1065"/>
    </row>
    <row r="137" spans="1:19" s="655" customFormat="1" ht="15.95" customHeight="1" x14ac:dyDescent="0.25">
      <c r="A137" s="654"/>
      <c r="B137" s="1066" t="s">
        <v>87</v>
      </c>
      <c r="C137" s="1067"/>
      <c r="D137" s="1067"/>
      <c r="E137" s="1067"/>
      <c r="F137" s="1067"/>
      <c r="G137" s="1067"/>
      <c r="H137" s="1067"/>
      <c r="I137" s="1067"/>
      <c r="J137" s="1067"/>
      <c r="K137" s="1067"/>
      <c r="L137" s="1067"/>
      <c r="M137" s="1067"/>
      <c r="N137" s="1067"/>
      <c r="O137" s="1067"/>
      <c r="P137" s="1067"/>
      <c r="Q137" s="1067"/>
      <c r="R137" s="1067"/>
      <c r="S137" s="1068"/>
    </row>
    <row r="138" spans="1:19" ht="15" customHeight="1" x14ac:dyDescent="0.25">
      <c r="A138" s="516"/>
      <c r="B138" s="536" t="s">
        <v>395</v>
      </c>
      <c r="E138" s="724">
        <v>0</v>
      </c>
      <c r="F138" s="725">
        <v>4108</v>
      </c>
      <c r="G138" s="739">
        <f>SUM(H138:S138)</f>
        <v>2267</v>
      </c>
      <c r="H138" s="511">
        <v>223</v>
      </c>
      <c r="I138" s="561">
        <v>119</v>
      </c>
      <c r="J138" s="561">
        <v>207</v>
      </c>
      <c r="K138" s="561">
        <v>199</v>
      </c>
      <c r="L138" s="561">
        <f>SUM(L139:L140)</f>
        <v>202</v>
      </c>
      <c r="M138" s="561">
        <f>SUM(M139:M140)</f>
        <v>202</v>
      </c>
      <c r="N138" s="512">
        <v>215</v>
      </c>
      <c r="O138" s="561">
        <v>183</v>
      </c>
      <c r="P138" s="561">
        <v>182</v>
      </c>
      <c r="Q138" s="561">
        <v>177</v>
      </c>
      <c r="R138" s="561">
        <f>SUM(R139:R140)</f>
        <v>178</v>
      </c>
      <c r="S138" s="561">
        <f>SUM(S139:S140)</f>
        <v>180</v>
      </c>
    </row>
    <row r="139" spans="1:19" ht="15" customHeight="1" x14ac:dyDescent="0.25">
      <c r="A139" s="516"/>
      <c r="B139" s="762" t="s">
        <v>340</v>
      </c>
      <c r="C139" s="907"/>
      <c r="E139" s="724">
        <v>0</v>
      </c>
      <c r="F139" s="725">
        <v>3156</v>
      </c>
      <c r="G139" s="739">
        <f>SUM(H139:S139)</f>
        <v>2019</v>
      </c>
      <c r="H139" s="519">
        <v>189</v>
      </c>
      <c r="I139" s="520">
        <v>186</v>
      </c>
      <c r="J139" s="520">
        <v>178</v>
      </c>
      <c r="K139" s="561">
        <v>172</v>
      </c>
      <c r="L139" s="561">
        <v>176</v>
      </c>
      <c r="M139" s="561">
        <v>176</v>
      </c>
      <c r="N139" s="512">
        <v>173</v>
      </c>
      <c r="O139" s="807">
        <v>153</v>
      </c>
      <c r="P139" s="520">
        <v>154</v>
      </c>
      <c r="Q139" s="520">
        <v>152</v>
      </c>
      <c r="R139" s="520">
        <v>154</v>
      </c>
      <c r="S139" s="521">
        <v>156</v>
      </c>
    </row>
    <row r="140" spans="1:19" ht="15" customHeight="1" x14ac:dyDescent="0.25">
      <c r="A140" s="516"/>
      <c r="B140" s="762" t="s">
        <v>341</v>
      </c>
      <c r="C140" s="907"/>
      <c r="E140" s="724">
        <v>0</v>
      </c>
      <c r="F140" s="725">
        <v>952</v>
      </c>
      <c r="G140" s="739">
        <f>SUM(H140:S140)</f>
        <v>347</v>
      </c>
      <c r="H140" s="519">
        <v>33</v>
      </c>
      <c r="I140" s="520">
        <v>33</v>
      </c>
      <c r="J140" s="520">
        <v>29</v>
      </c>
      <c r="K140" s="561">
        <v>27</v>
      </c>
      <c r="L140" s="561">
        <v>26</v>
      </c>
      <c r="M140" s="561">
        <v>26</v>
      </c>
      <c r="N140" s="512">
        <v>42</v>
      </c>
      <c r="O140" s="807">
        <v>30</v>
      </c>
      <c r="P140" s="520">
        <v>28</v>
      </c>
      <c r="Q140" s="520">
        <v>25</v>
      </c>
      <c r="R140" s="520">
        <v>24</v>
      </c>
      <c r="S140" s="521">
        <v>24</v>
      </c>
    </row>
    <row r="141" spans="1:19" ht="15" customHeight="1" x14ac:dyDescent="0.25">
      <c r="A141" s="516"/>
      <c r="B141" s="535" t="s">
        <v>342</v>
      </c>
      <c r="E141" s="724">
        <v>0</v>
      </c>
      <c r="F141" s="725">
        <v>883408</v>
      </c>
      <c r="G141" s="739">
        <f>SUM(H141:S141)</f>
        <v>554082</v>
      </c>
      <c r="H141" s="578">
        <v>47201</v>
      </c>
      <c r="I141" s="574">
        <v>48658</v>
      </c>
      <c r="J141" s="574">
        <v>45455</v>
      </c>
      <c r="K141" s="574">
        <v>40975</v>
      </c>
      <c r="L141" s="574">
        <v>42868</v>
      </c>
      <c r="M141" s="574">
        <v>42978</v>
      </c>
      <c r="N141" s="574">
        <v>45438</v>
      </c>
      <c r="O141" s="923">
        <v>41666</v>
      </c>
      <c r="P141" s="574">
        <v>39517</v>
      </c>
      <c r="Q141" s="574">
        <v>37498</v>
      </c>
      <c r="R141" s="574">
        <v>38360</v>
      </c>
      <c r="S141" s="575">
        <v>83468</v>
      </c>
    </row>
    <row r="142" spans="1:19" s="655" customFormat="1" ht="15.95" customHeight="1" x14ac:dyDescent="0.25">
      <c r="A142" s="654"/>
      <c r="B142" s="1051" t="s">
        <v>89</v>
      </c>
      <c r="C142" s="1052"/>
      <c r="D142" s="1052"/>
      <c r="E142" s="1052"/>
      <c r="F142" s="1052"/>
      <c r="G142" s="1052"/>
      <c r="H142" s="1052"/>
      <c r="I142" s="1052"/>
      <c r="J142" s="1052"/>
      <c r="K142" s="1052"/>
      <c r="L142" s="1052"/>
      <c r="M142" s="1052"/>
      <c r="N142" s="1052"/>
      <c r="O142" s="1052"/>
      <c r="P142" s="1052"/>
      <c r="Q142" s="1052"/>
      <c r="R142" s="1052"/>
      <c r="S142" s="1053"/>
    </row>
    <row r="143" spans="1:19" ht="15" customHeight="1" x14ac:dyDescent="0.25">
      <c r="A143" s="516"/>
      <c r="B143" s="536" t="s">
        <v>343</v>
      </c>
      <c r="E143" s="724">
        <v>0</v>
      </c>
      <c r="F143" s="725">
        <v>934</v>
      </c>
      <c r="G143" s="739">
        <f>SUM(H143:S143)</f>
        <v>0</v>
      </c>
      <c r="H143" s="892" t="s">
        <v>144</v>
      </c>
      <c r="I143" s="892" t="s">
        <v>144</v>
      </c>
      <c r="J143" s="892" t="s">
        <v>144</v>
      </c>
      <c r="K143" s="892" t="s">
        <v>144</v>
      </c>
      <c r="L143" s="892" t="s">
        <v>144</v>
      </c>
      <c r="M143" s="892" t="s">
        <v>144</v>
      </c>
      <c r="N143" s="892" t="s">
        <v>144</v>
      </c>
      <c r="O143" s="892" t="s">
        <v>144</v>
      </c>
      <c r="P143" s="892" t="s">
        <v>144</v>
      </c>
      <c r="Q143" s="892" t="s">
        <v>144</v>
      </c>
      <c r="R143" s="892" t="s">
        <v>144</v>
      </c>
      <c r="S143" s="892" t="s">
        <v>144</v>
      </c>
    </row>
    <row r="144" spans="1:19" ht="15" hidden="1" customHeight="1" x14ac:dyDescent="0.25">
      <c r="A144" s="516"/>
      <c r="B144" s="581" t="s">
        <v>344</v>
      </c>
      <c r="C144" s="916"/>
      <c r="D144" s="876"/>
      <c r="E144" s="741">
        <v>0</v>
      </c>
      <c r="F144" s="742">
        <v>0</v>
      </c>
      <c r="G144" s="739">
        <f>SUM(H144:S144)</f>
        <v>0</v>
      </c>
      <c r="H144" s="507"/>
      <c r="I144" s="507"/>
      <c r="J144" s="507"/>
      <c r="K144" s="507"/>
      <c r="L144" s="507"/>
      <c r="M144" s="507"/>
      <c r="N144" s="507"/>
      <c r="O144" s="507"/>
      <c r="P144" s="507"/>
      <c r="Q144" s="507"/>
      <c r="R144" s="507"/>
      <c r="S144" s="507"/>
    </row>
    <row r="145" spans="1:19" ht="15" hidden="1" customHeight="1" x14ac:dyDescent="0.25">
      <c r="A145" s="516"/>
      <c r="B145" s="535" t="s">
        <v>345</v>
      </c>
      <c r="E145" s="743">
        <v>0</v>
      </c>
      <c r="F145" s="744">
        <v>0</v>
      </c>
      <c r="G145" s="745">
        <f>SUM(H145:S145)</f>
        <v>0</v>
      </c>
      <c r="H145" s="507"/>
      <c r="I145" s="507"/>
      <c r="J145" s="507"/>
      <c r="K145" s="507"/>
      <c r="L145" s="507"/>
      <c r="M145" s="507"/>
      <c r="N145" s="507"/>
      <c r="O145" s="507"/>
      <c r="P145" s="507"/>
      <c r="Q145" s="507"/>
      <c r="R145" s="507"/>
      <c r="S145" s="507"/>
    </row>
    <row r="146" spans="1:19" ht="15" customHeight="1" x14ac:dyDescent="0.25">
      <c r="A146" s="516"/>
      <c r="B146" s="534" t="s">
        <v>346</v>
      </c>
      <c r="C146" s="909"/>
      <c r="D146" s="871"/>
      <c r="E146" s="667">
        <f>'FY 19'!G147</f>
        <v>33</v>
      </c>
      <c r="F146" s="518">
        <v>5</v>
      </c>
      <c r="G146" s="683">
        <f>SUM(H146:S146)</f>
        <v>0</v>
      </c>
      <c r="H146" s="507" t="s">
        <v>144</v>
      </c>
      <c r="I146" s="507" t="s">
        <v>144</v>
      </c>
      <c r="J146" s="507" t="s">
        <v>144</v>
      </c>
      <c r="K146" s="507" t="s">
        <v>144</v>
      </c>
      <c r="L146" s="507" t="s">
        <v>144</v>
      </c>
      <c r="M146" s="507" t="s">
        <v>144</v>
      </c>
      <c r="N146" s="507" t="s">
        <v>144</v>
      </c>
      <c r="O146" s="507" t="s">
        <v>144</v>
      </c>
      <c r="P146" s="507" t="s">
        <v>144</v>
      </c>
      <c r="Q146" s="507" t="s">
        <v>144</v>
      </c>
      <c r="R146" s="507" t="s">
        <v>144</v>
      </c>
      <c r="S146" s="507" t="s">
        <v>144</v>
      </c>
    </row>
    <row r="147" spans="1:19" ht="15" customHeight="1" x14ac:dyDescent="0.25">
      <c r="A147" s="516"/>
      <c r="B147" s="587" t="s">
        <v>347</v>
      </c>
      <c r="C147" s="917"/>
      <c r="D147" s="881"/>
      <c r="E147" s="537">
        <v>82</v>
      </c>
      <c r="F147" s="518">
        <v>107</v>
      </c>
      <c r="G147" s="542">
        <f>SUM(H147:S147)</f>
        <v>34</v>
      </c>
      <c r="H147" s="588">
        <v>2</v>
      </c>
      <c r="I147" s="589">
        <v>4</v>
      </c>
      <c r="J147" s="589">
        <v>5</v>
      </c>
      <c r="K147" s="589">
        <v>3</v>
      </c>
      <c r="L147" s="589">
        <v>1</v>
      </c>
      <c r="M147" s="589">
        <v>2</v>
      </c>
      <c r="N147" s="589">
        <v>2</v>
      </c>
      <c r="O147" s="696">
        <v>3</v>
      </c>
      <c r="P147" s="589">
        <v>3</v>
      </c>
      <c r="Q147" s="589">
        <v>1</v>
      </c>
      <c r="R147" s="589">
        <v>2</v>
      </c>
      <c r="S147" s="590">
        <v>6</v>
      </c>
    </row>
    <row r="148" spans="1:19" s="655" customFormat="1" ht="15.95" customHeight="1" x14ac:dyDescent="0.25">
      <c r="A148" s="654"/>
      <c r="B148" s="1054" t="s">
        <v>266</v>
      </c>
      <c r="C148" s="1069"/>
      <c r="D148" s="1069"/>
      <c r="E148" s="1069"/>
      <c r="F148" s="1069"/>
      <c r="G148" s="1055"/>
      <c r="H148" s="1055"/>
      <c r="I148" s="1055"/>
      <c r="J148" s="1055"/>
      <c r="K148" s="1055"/>
      <c r="L148" s="1055"/>
      <c r="M148" s="1055"/>
      <c r="N148" s="1055"/>
      <c r="O148" s="1055"/>
      <c r="P148" s="1055"/>
      <c r="Q148" s="1055"/>
      <c r="R148" s="1055"/>
      <c r="S148" s="1056"/>
    </row>
    <row r="149" spans="1:19" s="655" customFormat="1" ht="15.95" customHeight="1" x14ac:dyDescent="0.25">
      <c r="A149" s="654"/>
      <c r="B149" s="1070" t="s">
        <v>94</v>
      </c>
      <c r="C149" s="1071"/>
      <c r="D149" s="1071"/>
      <c r="E149" s="1071"/>
      <c r="F149" s="1071"/>
      <c r="G149" s="1071"/>
      <c r="H149" s="1071"/>
      <c r="I149" s="1071"/>
      <c r="J149" s="1071"/>
      <c r="K149" s="1071"/>
      <c r="L149" s="1071"/>
      <c r="M149" s="1071"/>
      <c r="N149" s="1071"/>
      <c r="O149" s="1071"/>
      <c r="P149" s="1071"/>
      <c r="Q149" s="1071"/>
      <c r="R149" s="1071"/>
      <c r="S149" s="1072"/>
    </row>
    <row r="150" spans="1:19" ht="15" customHeight="1" x14ac:dyDescent="0.25">
      <c r="A150" s="516"/>
      <c r="B150" s="536" t="s">
        <v>348</v>
      </c>
      <c r="C150" s="909"/>
      <c r="D150" s="871"/>
      <c r="E150" s="701">
        <f>'FY 19'!G151</f>
        <v>1079517.1099999999</v>
      </c>
      <c r="F150" s="960">
        <v>1117482.8899999999</v>
      </c>
      <c r="G150" s="591">
        <f t="shared" ref="G150:L150" si="11">SUM(G151:G156)</f>
        <v>183973.25</v>
      </c>
      <c r="H150" s="838">
        <f t="shared" si="11"/>
        <v>9907</v>
      </c>
      <c r="I150" s="838">
        <f t="shared" si="11"/>
        <v>36441.24</v>
      </c>
      <c r="J150" s="838">
        <f t="shared" si="11"/>
        <v>12433.12</v>
      </c>
      <c r="K150" s="838">
        <f t="shared" si="11"/>
        <v>8823.4</v>
      </c>
      <c r="L150" s="838">
        <f t="shared" si="11"/>
        <v>15807.07</v>
      </c>
      <c r="M150" s="838">
        <f>SUM(M151:M156)+216</f>
        <v>14623.69</v>
      </c>
      <c r="N150" s="838">
        <f>SUM(N151:N156)+140</f>
        <v>12325</v>
      </c>
      <c r="O150" s="680">
        <f>SUM(O151:O155)</f>
        <v>8153.81</v>
      </c>
      <c r="P150" s="680">
        <v>33460.300000000003</v>
      </c>
      <c r="Q150" s="680">
        <f>SUM(Q151:Q156)</f>
        <v>10383.57</v>
      </c>
      <c r="R150" s="680">
        <f>SUM(R151:R156)</f>
        <v>14726.05</v>
      </c>
      <c r="S150" s="680">
        <f>SUM(S151:S155)</f>
        <v>7245</v>
      </c>
    </row>
    <row r="151" spans="1:19" ht="15" customHeight="1" x14ac:dyDescent="0.25">
      <c r="A151" s="516"/>
      <c r="B151" s="763" t="s">
        <v>349</v>
      </c>
      <c r="C151" s="918"/>
      <c r="D151" s="871"/>
      <c r="E151" s="701">
        <f>'FY 19'!G152</f>
        <v>12657.88</v>
      </c>
      <c r="F151" s="960">
        <v>4279.6000000000004</v>
      </c>
      <c r="G151" s="591">
        <f t="shared" ref="G151:G156" si="12">SUM(H151:S151)</f>
        <v>1071</v>
      </c>
      <c r="H151" s="550">
        <v>60</v>
      </c>
      <c r="I151" s="551">
        <v>360</v>
      </c>
      <c r="J151" s="551">
        <v>171</v>
      </c>
      <c r="K151" s="551">
        <v>0</v>
      </c>
      <c r="L151" s="551">
        <v>0</v>
      </c>
      <c r="M151" s="551">
        <v>0</v>
      </c>
      <c r="N151" s="551">
        <v>90</v>
      </c>
      <c r="O151" s="551">
        <v>0</v>
      </c>
      <c r="P151" s="551">
        <v>40</v>
      </c>
      <c r="Q151" s="551">
        <v>140</v>
      </c>
      <c r="R151" s="551">
        <v>40</v>
      </c>
      <c r="S151" s="552">
        <v>170</v>
      </c>
    </row>
    <row r="152" spans="1:19" ht="15" customHeight="1" x14ac:dyDescent="0.25">
      <c r="A152" s="516"/>
      <c r="B152" s="762" t="s">
        <v>350</v>
      </c>
      <c r="C152" s="910"/>
      <c r="D152" s="873"/>
      <c r="E152" s="701">
        <f>'FY 19'!G153</f>
        <v>989852.94</v>
      </c>
      <c r="F152" s="960">
        <v>1025086.8099999999</v>
      </c>
      <c r="G152" s="592">
        <f t="shared" si="12"/>
        <v>125574.99</v>
      </c>
      <c r="H152" s="550">
        <v>8838</v>
      </c>
      <c r="I152" s="551">
        <v>20090.28</v>
      </c>
      <c r="J152" s="551">
        <v>10199.120000000001</v>
      </c>
      <c r="K152" s="851">
        <v>7601.4</v>
      </c>
      <c r="L152" s="551">
        <v>10073.07</v>
      </c>
      <c r="M152" s="551">
        <v>11532.69</v>
      </c>
      <c r="N152" s="551">
        <v>10243</v>
      </c>
      <c r="O152" s="551">
        <v>6640.81</v>
      </c>
      <c r="P152" s="967">
        <v>17902.5</v>
      </c>
      <c r="Q152" s="551">
        <v>8051.07</v>
      </c>
      <c r="R152" s="967">
        <v>9233.0499999999993</v>
      </c>
      <c r="S152" s="552">
        <v>5170</v>
      </c>
    </row>
    <row r="153" spans="1:19" ht="15" customHeight="1" x14ac:dyDescent="0.25">
      <c r="A153" s="516"/>
      <c r="B153" s="762" t="s">
        <v>351</v>
      </c>
      <c r="C153" s="910"/>
      <c r="D153" s="873"/>
      <c r="E153" s="701">
        <f>'FY 19'!G154</f>
        <v>29876.330000000005</v>
      </c>
      <c r="F153" s="960">
        <v>15284.54</v>
      </c>
      <c r="G153" s="592">
        <f t="shared" si="12"/>
        <v>5226.96</v>
      </c>
      <c r="H153" s="550">
        <v>253</v>
      </c>
      <c r="I153" s="551">
        <v>571.96</v>
      </c>
      <c r="J153" s="551">
        <v>60</v>
      </c>
      <c r="K153" s="851">
        <v>353</v>
      </c>
      <c r="L153" s="551">
        <v>250</v>
      </c>
      <c r="M153" s="551">
        <v>650</v>
      </c>
      <c r="N153" s="551">
        <v>50</v>
      </c>
      <c r="O153" s="551">
        <v>1153</v>
      </c>
      <c r="P153" s="551">
        <v>753</v>
      </c>
      <c r="Q153" s="551">
        <v>153</v>
      </c>
      <c r="R153" s="967">
        <v>410</v>
      </c>
      <c r="S153" s="552">
        <v>570</v>
      </c>
    </row>
    <row r="154" spans="1:19" ht="15" customHeight="1" x14ac:dyDescent="0.25">
      <c r="A154" s="516"/>
      <c r="B154" s="762" t="s">
        <v>352</v>
      </c>
      <c r="C154" s="910"/>
      <c r="D154" s="873"/>
      <c r="E154" s="701">
        <f>'FY 19'!G155</f>
        <v>37310.460000000006</v>
      </c>
      <c r="F154" s="960">
        <v>52297.94</v>
      </c>
      <c r="G154" s="592">
        <f t="shared" si="12"/>
        <v>43761.8</v>
      </c>
      <c r="H154" s="550">
        <v>0</v>
      </c>
      <c r="I154" s="923">
        <v>14966</v>
      </c>
      <c r="J154" s="551">
        <v>1047</v>
      </c>
      <c r="K154" s="851">
        <v>0</v>
      </c>
      <c r="L154" s="862">
        <v>5134</v>
      </c>
      <c r="M154" s="551">
        <v>1166</v>
      </c>
      <c r="N154" s="551">
        <v>1036</v>
      </c>
      <c r="O154" s="551">
        <v>0</v>
      </c>
      <c r="P154" s="551">
        <v>13384.8</v>
      </c>
      <c r="Q154" s="551">
        <v>1706</v>
      </c>
      <c r="R154" s="967">
        <v>4087</v>
      </c>
      <c r="S154" s="552">
        <v>1235</v>
      </c>
    </row>
    <row r="155" spans="1:19" ht="15" customHeight="1" x14ac:dyDescent="0.25">
      <c r="A155" s="516"/>
      <c r="B155" s="762" t="s">
        <v>353</v>
      </c>
      <c r="C155" s="910"/>
      <c r="D155" s="873"/>
      <c r="E155" s="701">
        <f>'FY 19'!G156</f>
        <v>9819.5</v>
      </c>
      <c r="F155" s="960">
        <v>20534</v>
      </c>
      <c r="G155" s="592">
        <f t="shared" si="12"/>
        <v>8338.5</v>
      </c>
      <c r="H155" s="550">
        <v>756</v>
      </c>
      <c r="I155" s="551">
        <v>453</v>
      </c>
      <c r="J155" s="551">
        <v>956</v>
      </c>
      <c r="K155" s="851">
        <v>869</v>
      </c>
      <c r="L155" s="551">
        <v>350</v>
      </c>
      <c r="M155" s="551">
        <v>1059</v>
      </c>
      <c r="N155" s="551">
        <v>766</v>
      </c>
      <c r="O155" s="551">
        <v>360</v>
      </c>
      <c r="P155" s="551">
        <v>1380</v>
      </c>
      <c r="Q155" s="551">
        <v>333.5</v>
      </c>
      <c r="R155" s="967">
        <v>956</v>
      </c>
      <c r="S155" s="552">
        <v>100</v>
      </c>
    </row>
    <row r="156" spans="1:19" ht="15" customHeight="1" x14ac:dyDescent="0.25">
      <c r="A156" s="516"/>
      <c r="B156" s="761" t="s">
        <v>354</v>
      </c>
      <c r="C156" s="906"/>
      <c r="D156" s="872"/>
      <c r="E156" s="701">
        <f>'FY 19'!G157</f>
        <v>0</v>
      </c>
      <c r="F156" s="960">
        <v>0</v>
      </c>
      <c r="G156" s="593">
        <f t="shared" si="12"/>
        <v>0</v>
      </c>
      <c r="H156" s="550">
        <v>0</v>
      </c>
      <c r="I156" s="550">
        <v>0</v>
      </c>
      <c r="J156" s="550">
        <v>0</v>
      </c>
      <c r="K156" s="551">
        <v>0</v>
      </c>
      <c r="L156" s="551">
        <v>0</v>
      </c>
      <c r="M156" s="551">
        <v>0</v>
      </c>
      <c r="N156" s="551">
        <v>0</v>
      </c>
      <c r="O156" s="551">
        <v>0</v>
      </c>
      <c r="P156" s="551">
        <v>0</v>
      </c>
      <c r="Q156" s="551">
        <v>0</v>
      </c>
      <c r="R156" s="967">
        <v>0</v>
      </c>
      <c r="S156" s="552">
        <v>0</v>
      </c>
    </row>
    <row r="157" spans="1:19" s="655" customFormat="1" ht="15.95" customHeight="1" x14ac:dyDescent="0.25">
      <c r="A157" s="654"/>
      <c r="B157" s="1060" t="s">
        <v>95</v>
      </c>
      <c r="C157" s="1061"/>
      <c r="D157" s="1061"/>
      <c r="E157" s="1061"/>
      <c r="F157" s="1061"/>
      <c r="G157" s="1061"/>
      <c r="H157" s="1061"/>
      <c r="I157" s="1061"/>
      <c r="J157" s="1061"/>
      <c r="K157" s="1061"/>
      <c r="L157" s="1061"/>
      <c r="M157" s="1061"/>
      <c r="N157" s="1061"/>
      <c r="O157" s="1061"/>
      <c r="P157" s="1061"/>
      <c r="Q157" s="1061"/>
      <c r="R157" s="1061"/>
      <c r="S157" s="1062"/>
    </row>
    <row r="158" spans="1:19" ht="15" customHeight="1" x14ac:dyDescent="0.25">
      <c r="A158" s="516"/>
      <c r="B158" s="536" t="s">
        <v>355</v>
      </c>
      <c r="C158" s="909"/>
      <c r="D158" s="871"/>
      <c r="E158" s="706">
        <v>108268</v>
      </c>
      <c r="F158" s="707">
        <v>79635</v>
      </c>
      <c r="G158" s="510">
        <f>SUM(H158:S158)</f>
        <v>26704</v>
      </c>
      <c r="H158" s="537">
        <f>SUM(H159:H160)</f>
        <v>1484</v>
      </c>
      <c r="I158" s="537">
        <v>1676</v>
      </c>
      <c r="J158" s="537">
        <v>3028</v>
      </c>
      <c r="K158" s="537">
        <v>2861</v>
      </c>
      <c r="L158" s="537">
        <v>2178</v>
      </c>
      <c r="M158" s="537">
        <v>2511</v>
      </c>
      <c r="N158" s="537">
        <v>2877</v>
      </c>
      <c r="O158" s="537">
        <v>2562</v>
      </c>
      <c r="P158" s="566">
        <v>2787</v>
      </c>
      <c r="Q158" s="566">
        <v>1830</v>
      </c>
      <c r="R158" s="566">
        <v>1058</v>
      </c>
      <c r="S158" s="566">
        <v>1852</v>
      </c>
    </row>
    <row r="159" spans="1:19" ht="15" customHeight="1" x14ac:dyDescent="0.25">
      <c r="A159" s="516"/>
      <c r="B159" s="763" t="s">
        <v>97</v>
      </c>
      <c r="C159" s="918"/>
      <c r="D159" s="871"/>
      <c r="E159" s="706">
        <v>102606</v>
      </c>
      <c r="F159" s="707">
        <v>76884</v>
      </c>
      <c r="G159" s="510">
        <f t="shared" ref="G159:G162" si="13">SUM(H159:S159)</f>
        <v>26634</v>
      </c>
      <c r="H159" s="537">
        <v>1483</v>
      </c>
      <c r="I159" s="566">
        <v>1676</v>
      </c>
      <c r="J159" s="566">
        <v>2997</v>
      </c>
      <c r="K159" s="566">
        <v>2823</v>
      </c>
      <c r="L159" s="566">
        <v>2178</v>
      </c>
      <c r="M159" s="566">
        <v>2511</v>
      </c>
      <c r="N159" s="566">
        <v>2877</v>
      </c>
      <c r="O159" s="537">
        <v>2562</v>
      </c>
      <c r="P159" s="566">
        <v>2787</v>
      </c>
      <c r="Q159" s="566">
        <v>1830</v>
      </c>
      <c r="R159" s="566">
        <v>1058</v>
      </c>
      <c r="S159" s="566">
        <v>1852</v>
      </c>
    </row>
    <row r="160" spans="1:19" ht="15" customHeight="1" x14ac:dyDescent="0.25">
      <c r="A160" s="516"/>
      <c r="B160" s="762" t="s">
        <v>371</v>
      </c>
      <c r="C160" s="910"/>
      <c r="D160" s="873"/>
      <c r="E160" s="706">
        <v>5662</v>
      </c>
      <c r="F160" s="707">
        <v>2751</v>
      </c>
      <c r="G160" s="523">
        <f t="shared" si="13"/>
        <v>70</v>
      </c>
      <c r="H160" s="537">
        <v>1</v>
      </c>
      <c r="I160" s="566">
        <v>0</v>
      </c>
      <c r="J160" s="566">
        <v>31</v>
      </c>
      <c r="K160" s="566">
        <v>38</v>
      </c>
      <c r="L160" s="566">
        <v>0</v>
      </c>
      <c r="M160" s="566">
        <v>0</v>
      </c>
      <c r="N160" s="566">
        <v>0</v>
      </c>
      <c r="O160" s="566">
        <v>0</v>
      </c>
      <c r="P160" s="566">
        <v>0</v>
      </c>
      <c r="Q160" s="566">
        <v>0</v>
      </c>
      <c r="R160" s="566">
        <v>0</v>
      </c>
      <c r="S160" s="594">
        <v>0</v>
      </c>
    </row>
    <row r="161" spans="1:20" ht="15" customHeight="1" x14ac:dyDescent="0.25">
      <c r="A161" s="516"/>
      <c r="B161" s="534" t="s">
        <v>356</v>
      </c>
      <c r="C161" s="911"/>
      <c r="D161" s="873"/>
      <c r="E161" s="706">
        <v>178788</v>
      </c>
      <c r="F161" s="707">
        <v>142077</v>
      </c>
      <c r="G161" s="523">
        <f t="shared" si="13"/>
        <v>162447</v>
      </c>
      <c r="H161" s="537">
        <v>12546</v>
      </c>
      <c r="I161" s="823">
        <v>14102</v>
      </c>
      <c r="J161" s="566">
        <v>15350</v>
      </c>
      <c r="K161" s="566">
        <v>17895</v>
      </c>
      <c r="L161" s="566">
        <v>15359</v>
      </c>
      <c r="M161" s="566">
        <v>15082</v>
      </c>
      <c r="N161" s="566">
        <v>15458</v>
      </c>
      <c r="O161" s="566">
        <v>13298</v>
      </c>
      <c r="P161" s="566">
        <v>12815</v>
      </c>
      <c r="Q161" s="566">
        <v>9089</v>
      </c>
      <c r="R161" s="566">
        <v>10134</v>
      </c>
      <c r="S161" s="955">
        <v>11319</v>
      </c>
    </row>
    <row r="162" spans="1:20" ht="15" customHeight="1" x14ac:dyDescent="0.25">
      <c r="A162" s="516"/>
      <c r="B162" s="762" t="s">
        <v>357</v>
      </c>
      <c r="C162" s="910"/>
      <c r="D162" s="873"/>
      <c r="E162" s="706">
        <v>173564</v>
      </c>
      <c r="F162" s="707">
        <v>138778</v>
      </c>
      <c r="G162" s="523">
        <f t="shared" si="13"/>
        <v>160169</v>
      </c>
      <c r="H162" s="537">
        <v>12441</v>
      </c>
      <c r="I162" s="823">
        <v>13771</v>
      </c>
      <c r="J162" s="566">
        <v>15142</v>
      </c>
      <c r="K162" s="566">
        <v>17573</v>
      </c>
      <c r="L162" s="566">
        <v>15118</v>
      </c>
      <c r="M162" s="566">
        <v>14850</v>
      </c>
      <c r="N162" s="566">
        <v>15246</v>
      </c>
      <c r="O162" s="566">
        <v>13143</v>
      </c>
      <c r="P162" s="566">
        <v>12713</v>
      </c>
      <c r="Q162" s="566">
        <v>8902</v>
      </c>
      <c r="R162" s="566">
        <v>10109</v>
      </c>
      <c r="S162" s="955">
        <v>11161</v>
      </c>
    </row>
    <row r="163" spans="1:20" ht="15" customHeight="1" x14ac:dyDescent="0.25">
      <c r="A163" s="516"/>
      <c r="B163" s="761" t="s">
        <v>358</v>
      </c>
      <c r="C163" s="906"/>
      <c r="D163" s="872"/>
      <c r="E163" s="938">
        <v>0.97018119104905221</v>
      </c>
      <c r="F163" s="939">
        <v>0.97384406810504653</v>
      </c>
      <c r="G163" s="946">
        <f>AVERAGE(H163:S163)</f>
        <v>0.98455833333333354</v>
      </c>
      <c r="H163" s="828">
        <v>0.99160000000000004</v>
      </c>
      <c r="I163" s="830">
        <v>0.97650000000000003</v>
      </c>
      <c r="J163" s="827">
        <v>0.98599999999999999</v>
      </c>
      <c r="K163" s="827">
        <v>0.98199999999999998</v>
      </c>
      <c r="L163" s="827">
        <v>0.98399999999999999</v>
      </c>
      <c r="M163" s="827">
        <v>0.98460000000000003</v>
      </c>
      <c r="N163" s="596">
        <v>0.98619999999999997</v>
      </c>
      <c r="O163" s="596">
        <v>0.98829999999999996</v>
      </c>
      <c r="P163" s="596">
        <v>0.99</v>
      </c>
      <c r="Q163" s="596">
        <v>0.97940000000000005</v>
      </c>
      <c r="R163" s="596">
        <v>0.98009999999999997</v>
      </c>
      <c r="S163" s="596">
        <v>0.98599999999999999</v>
      </c>
    </row>
    <row r="164" spans="1:20" s="655" customFormat="1" ht="15.95" customHeight="1" x14ac:dyDescent="0.25">
      <c r="A164" s="654"/>
      <c r="B164" s="1060" t="s">
        <v>359</v>
      </c>
      <c r="C164" s="1061"/>
      <c r="D164" s="1061"/>
      <c r="E164" s="1061"/>
      <c r="F164" s="1061"/>
      <c r="G164" s="1061"/>
      <c r="H164" s="1061"/>
      <c r="I164" s="1061"/>
      <c r="J164" s="1061"/>
      <c r="K164" s="1061"/>
      <c r="L164" s="1061"/>
      <c r="M164" s="1061"/>
      <c r="N164" s="1061"/>
      <c r="O164" s="1061"/>
      <c r="P164" s="1061"/>
      <c r="Q164" s="1061"/>
      <c r="R164" s="1061"/>
      <c r="S164" s="1062"/>
    </row>
    <row r="165" spans="1:20" ht="15" customHeight="1" thickBot="1" x14ac:dyDescent="0.3">
      <c r="A165" s="516"/>
      <c r="B165" s="536" t="s">
        <v>360</v>
      </c>
      <c r="C165" s="909"/>
      <c r="D165" s="871"/>
      <c r="E165" s="686">
        <v>1943</v>
      </c>
      <c r="F165" s="697">
        <v>1078</v>
      </c>
      <c r="G165" s="529">
        <f>SUM(H165:S165)</f>
        <v>5168</v>
      </c>
      <c r="H165" s="511">
        <f>SUM(H166:H171)</f>
        <v>564</v>
      </c>
      <c r="I165" s="511">
        <f t="shared" ref="I165:M165" si="14">SUM(I166:I171)</f>
        <v>20</v>
      </c>
      <c r="J165" s="511">
        <f t="shared" si="14"/>
        <v>1075</v>
      </c>
      <c r="K165" s="511">
        <f t="shared" si="14"/>
        <v>674</v>
      </c>
      <c r="L165" s="511">
        <f t="shared" si="14"/>
        <v>617</v>
      </c>
      <c r="M165" s="511">
        <f t="shared" si="14"/>
        <v>653</v>
      </c>
      <c r="N165" s="512">
        <v>602</v>
      </c>
      <c r="O165" s="512">
        <v>175</v>
      </c>
      <c r="P165" s="512">
        <v>144</v>
      </c>
      <c r="Q165" s="512">
        <v>215</v>
      </c>
      <c r="R165" s="512">
        <v>146</v>
      </c>
      <c r="S165" s="512">
        <v>283</v>
      </c>
    </row>
    <row r="166" spans="1:20" ht="15" customHeight="1" x14ac:dyDescent="0.25">
      <c r="A166" s="516"/>
      <c r="B166" s="760" t="s">
        <v>361</v>
      </c>
      <c r="C166" s="905"/>
      <c r="D166" s="874"/>
      <c r="E166" s="686">
        <v>683</v>
      </c>
      <c r="F166" s="697">
        <v>310</v>
      </c>
      <c r="G166" s="517">
        <f t="shared" ref="G166:G171" si="15">SUM(H166:S166)</f>
        <v>3802</v>
      </c>
      <c r="H166" s="968">
        <v>518</v>
      </c>
      <c r="I166" s="968">
        <v>18</v>
      </c>
      <c r="J166" s="968">
        <v>1031</v>
      </c>
      <c r="K166" s="968">
        <v>550</v>
      </c>
      <c r="L166" s="968">
        <v>546</v>
      </c>
      <c r="M166" s="968">
        <v>540</v>
      </c>
      <c r="N166" s="968">
        <v>552</v>
      </c>
      <c r="O166" s="968">
        <v>18</v>
      </c>
      <c r="P166" s="968">
        <v>7</v>
      </c>
      <c r="Q166" s="968">
        <v>3</v>
      </c>
      <c r="R166" s="968">
        <v>4</v>
      </c>
      <c r="S166" s="968">
        <v>15</v>
      </c>
    </row>
    <row r="167" spans="1:20" ht="15" hidden="1" customHeight="1" x14ac:dyDescent="0.25">
      <c r="A167" s="516"/>
      <c r="B167" s="760" t="s">
        <v>362</v>
      </c>
      <c r="C167" s="905"/>
      <c r="D167" s="874"/>
      <c r="E167" s="686">
        <v>0</v>
      </c>
      <c r="F167" s="697">
        <v>0</v>
      </c>
      <c r="G167" s="517">
        <f t="shared" si="15"/>
        <v>0</v>
      </c>
      <c r="H167" s="511">
        <v>0</v>
      </c>
      <c r="I167" s="520">
        <v>0</v>
      </c>
      <c r="J167" s="520">
        <v>0</v>
      </c>
      <c r="K167" s="520">
        <v>0</v>
      </c>
      <c r="L167" s="520">
        <v>0</v>
      </c>
      <c r="M167" s="520">
        <v>0</v>
      </c>
      <c r="N167" s="520">
        <v>0</v>
      </c>
      <c r="O167" s="520"/>
      <c r="P167" s="520"/>
      <c r="Q167" s="520"/>
      <c r="R167" s="520"/>
      <c r="S167" s="520"/>
    </row>
    <row r="168" spans="1:20" ht="15" customHeight="1" x14ac:dyDescent="0.25">
      <c r="A168" s="516"/>
      <c r="B168" s="760" t="s">
        <v>363</v>
      </c>
      <c r="C168" s="905"/>
      <c r="D168" s="874"/>
      <c r="E168" s="686">
        <v>50</v>
      </c>
      <c r="F168" s="697">
        <v>43</v>
      </c>
      <c r="G168" s="517">
        <f t="shared" si="15"/>
        <v>26</v>
      </c>
      <c r="H168" s="511">
        <v>0</v>
      </c>
      <c r="I168" s="520">
        <v>0</v>
      </c>
      <c r="J168" s="520">
        <v>0</v>
      </c>
      <c r="K168" s="520">
        <v>0</v>
      </c>
      <c r="L168" s="520">
        <v>0</v>
      </c>
      <c r="M168" s="520">
        <v>0</v>
      </c>
      <c r="N168" s="520">
        <v>4</v>
      </c>
      <c r="O168" s="520">
        <v>0</v>
      </c>
      <c r="P168" s="520">
        <v>5</v>
      </c>
      <c r="Q168" s="520">
        <v>0</v>
      </c>
      <c r="R168" s="520">
        <v>17</v>
      </c>
      <c r="S168" s="696">
        <v>0</v>
      </c>
    </row>
    <row r="169" spans="1:20" ht="15" customHeight="1" x14ac:dyDescent="0.25">
      <c r="A169" s="516"/>
      <c r="B169" s="760" t="s">
        <v>364</v>
      </c>
      <c r="C169" s="905"/>
      <c r="D169" s="874"/>
      <c r="E169" s="686">
        <v>555</v>
      </c>
      <c r="F169" s="697">
        <v>220</v>
      </c>
      <c r="G169" s="517">
        <f>SUM(H169:S169)</f>
        <v>463</v>
      </c>
      <c r="H169" s="519">
        <v>9</v>
      </c>
      <c r="I169" s="520">
        <v>1</v>
      </c>
      <c r="J169" s="520">
        <v>24</v>
      </c>
      <c r="K169" s="520">
        <v>3</v>
      </c>
      <c r="L169" s="520">
        <v>28</v>
      </c>
      <c r="M169" s="520">
        <v>36</v>
      </c>
      <c r="N169" s="807">
        <v>4</v>
      </c>
      <c r="O169" s="520">
        <v>21</v>
      </c>
      <c r="P169" s="520">
        <v>78</v>
      </c>
      <c r="Q169" s="520">
        <v>86</v>
      </c>
      <c r="R169" s="520">
        <v>72</v>
      </c>
      <c r="S169" s="520">
        <v>101</v>
      </c>
    </row>
    <row r="170" spans="1:20" ht="15" customHeight="1" x14ac:dyDescent="0.25">
      <c r="A170" s="516"/>
      <c r="B170" s="762" t="s">
        <v>365</v>
      </c>
      <c r="C170" s="910"/>
      <c r="D170" s="873"/>
      <c r="E170" s="686">
        <v>634</v>
      </c>
      <c r="F170" s="697">
        <v>567</v>
      </c>
      <c r="G170" s="517">
        <f t="shared" si="15"/>
        <v>807</v>
      </c>
      <c r="H170" s="519">
        <v>37</v>
      </c>
      <c r="I170" s="520">
        <v>1</v>
      </c>
      <c r="J170" s="520">
        <v>20</v>
      </c>
      <c r="K170" s="520">
        <v>89</v>
      </c>
      <c r="L170" s="520">
        <v>43</v>
      </c>
      <c r="M170" s="520">
        <v>77</v>
      </c>
      <c r="N170" s="520">
        <v>42</v>
      </c>
      <c r="O170" s="520">
        <v>136</v>
      </c>
      <c r="P170" s="520">
        <v>53</v>
      </c>
      <c r="Q170" s="520">
        <v>126</v>
      </c>
      <c r="R170" s="520">
        <v>27</v>
      </c>
      <c r="S170" s="520">
        <v>156</v>
      </c>
    </row>
    <row r="171" spans="1:20" ht="15" customHeight="1" x14ac:dyDescent="0.25">
      <c r="A171" s="516"/>
      <c r="B171" s="761" t="s">
        <v>366</v>
      </c>
      <c r="C171" s="906"/>
      <c r="D171" s="872"/>
      <c r="E171" s="686">
        <v>21</v>
      </c>
      <c r="F171" s="697">
        <v>2</v>
      </c>
      <c r="G171" s="530">
        <f t="shared" si="15"/>
        <v>70</v>
      </c>
      <c r="H171" s="524">
        <v>0</v>
      </c>
      <c r="I171" s="525">
        <v>0</v>
      </c>
      <c r="J171" s="525">
        <v>0</v>
      </c>
      <c r="K171" s="525">
        <v>32</v>
      </c>
      <c r="L171" s="525">
        <v>0</v>
      </c>
      <c r="M171" s="525">
        <v>0</v>
      </c>
      <c r="N171" s="525">
        <v>0</v>
      </c>
      <c r="O171" s="525">
        <v>0</v>
      </c>
      <c r="P171" s="525">
        <v>1</v>
      </c>
      <c r="Q171" s="525">
        <v>0</v>
      </c>
      <c r="R171" s="525">
        <v>26</v>
      </c>
      <c r="S171" s="525">
        <v>11</v>
      </c>
    </row>
    <row r="172" spans="1:20" s="655" customFormat="1" ht="15.95" customHeight="1" x14ac:dyDescent="0.25">
      <c r="A172" s="654"/>
      <c r="B172" s="1041" t="s">
        <v>267</v>
      </c>
      <c r="C172" s="1042"/>
      <c r="D172" s="1042"/>
      <c r="E172" s="1042"/>
      <c r="F172" s="1042"/>
      <c r="G172" s="1042"/>
      <c r="H172" s="1042"/>
      <c r="I172" s="1042"/>
      <c r="J172" s="1042"/>
      <c r="K172" s="1042"/>
      <c r="L172" s="1042"/>
      <c r="M172" s="1042"/>
      <c r="N172" s="1042"/>
      <c r="O172" s="1042"/>
      <c r="P172" s="1042"/>
      <c r="Q172" s="1042"/>
      <c r="R172" s="1042"/>
      <c r="S172" s="1043"/>
    </row>
    <row r="173" spans="1:20" ht="15" customHeight="1" x14ac:dyDescent="0.25">
      <c r="A173" s="516"/>
      <c r="B173" s="536" t="s">
        <v>274</v>
      </c>
      <c r="E173" s="966">
        <f>'FY 19'!G174</f>
        <v>17093278.73</v>
      </c>
      <c r="F173" s="923">
        <v>17174062.27</v>
      </c>
      <c r="G173" s="598">
        <f>SUM(H173:S173)</f>
        <v>16799137.490000002</v>
      </c>
      <c r="H173" s="545">
        <v>1585736.62</v>
      </c>
      <c r="I173" s="962">
        <v>1462899.53</v>
      </c>
      <c r="J173" s="837">
        <v>1410930.92</v>
      </c>
      <c r="K173" s="963">
        <v>1304467.52</v>
      </c>
      <c r="L173" s="863">
        <v>1297337.33</v>
      </c>
      <c r="M173" s="850">
        <v>1324922.22</v>
      </c>
      <c r="N173" s="850">
        <v>1222886.5900000001</v>
      </c>
      <c r="O173" s="600">
        <v>1203161.72</v>
      </c>
      <c r="P173" s="600">
        <v>1574334.43</v>
      </c>
      <c r="Q173" s="601">
        <v>1529751.47</v>
      </c>
      <c r="R173" s="602">
        <v>1396771.14</v>
      </c>
      <c r="S173" s="603">
        <v>1485938</v>
      </c>
    </row>
    <row r="174" spans="1:20" s="655" customFormat="1" ht="15.95" customHeight="1" x14ac:dyDescent="0.25">
      <c r="A174" s="654"/>
      <c r="B174" s="1044" t="s">
        <v>268</v>
      </c>
      <c r="C174" s="1045"/>
      <c r="D174" s="1045"/>
      <c r="E174" s="1045"/>
      <c r="F174" s="1045"/>
      <c r="G174" s="1045"/>
      <c r="H174" s="1045"/>
      <c r="I174" s="1045"/>
      <c r="J174" s="1045"/>
      <c r="K174" s="1045"/>
      <c r="L174" s="1045"/>
      <c r="M174" s="1045"/>
      <c r="N174" s="1045"/>
      <c r="O174" s="1045"/>
      <c r="P174" s="1045"/>
      <c r="Q174" s="1045"/>
      <c r="R174" s="1045"/>
      <c r="S174" s="1046"/>
    </row>
    <row r="175" spans="1:20" ht="20.25" customHeight="1" x14ac:dyDescent="0.25">
      <c r="A175" s="516"/>
      <c r="B175" s="536" t="s">
        <v>367</v>
      </c>
      <c r="E175" s="712"/>
      <c r="F175" s="698"/>
      <c r="G175" s="506"/>
      <c r="H175" s="677">
        <v>116522</v>
      </c>
      <c r="I175" s="678">
        <v>114813</v>
      </c>
      <c r="J175" s="678">
        <v>115819</v>
      </c>
      <c r="K175" s="678">
        <v>116998</v>
      </c>
      <c r="L175" s="678">
        <v>121519</v>
      </c>
      <c r="M175" s="678">
        <v>121602</v>
      </c>
      <c r="N175" s="678">
        <v>117469</v>
      </c>
      <c r="O175" s="678"/>
      <c r="P175" s="678">
        <v>117667</v>
      </c>
      <c r="Q175" s="678">
        <v>117756</v>
      </c>
      <c r="R175" s="679">
        <v>117986</v>
      </c>
      <c r="S175" s="518">
        <v>116841</v>
      </c>
    </row>
    <row r="176" spans="1:20" ht="23.25" customHeight="1" x14ac:dyDescent="0.2">
      <c r="A176" s="751"/>
      <c r="B176" s="752" t="s">
        <v>407</v>
      </c>
      <c r="C176" s="919"/>
      <c r="D176" s="882"/>
      <c r="E176" s="713"/>
      <c r="F176" s="699"/>
      <c r="G176" s="714"/>
      <c r="H176" s="826">
        <f>H175/T176</f>
        <v>0.37360206227876674</v>
      </c>
      <c r="I176" s="826">
        <f>I175/T176</f>
        <v>0.36812253116503363</v>
      </c>
      <c r="J176" s="826">
        <f>J175/T176</f>
        <v>0.37134804801723698</v>
      </c>
      <c r="K176" s="826">
        <f>K175/T176</f>
        <v>0.37512825116708565</v>
      </c>
      <c r="L176" s="826">
        <f>L175/T176</f>
        <v>0.38962383932693789</v>
      </c>
      <c r="M176" s="826">
        <f>M175/T176</f>
        <v>0.38988996049864055</v>
      </c>
      <c r="N176" s="826">
        <f>N175/T176</f>
        <v>0.37663840865951881</v>
      </c>
      <c r="O176" s="826"/>
      <c r="P176" s="826">
        <f>P175/T176</f>
        <v>0.37727325193659261</v>
      </c>
      <c r="Q176" s="826">
        <f>Q175/T176</f>
        <v>0.37755861078335812</v>
      </c>
      <c r="R176" s="826">
        <f>R175/T176</f>
        <v>0.37829605499410046</v>
      </c>
      <c r="S176" s="826">
        <f>S175/T176</f>
        <v>0.37462486533627454</v>
      </c>
      <c r="T176" s="951">
        <v>311888</v>
      </c>
    </row>
    <row r="178" spans="2:19" ht="15" hidden="1" customHeight="1" x14ac:dyDescent="0.25">
      <c r="B178" s="604" t="s">
        <v>200</v>
      </c>
      <c r="C178" s="605"/>
      <c r="D178" s="883"/>
      <c r="E178" s="605"/>
      <c r="F178" s="605"/>
      <c r="G178" s="605"/>
      <c r="H178" s="605"/>
      <c r="I178" s="605"/>
      <c r="J178" s="605"/>
      <c r="K178" s="605"/>
      <c r="L178" s="605"/>
      <c r="M178" s="605"/>
      <c r="N178" s="605"/>
      <c r="O178" s="605"/>
      <c r="P178" s="605"/>
      <c r="Q178" s="605"/>
      <c r="R178" s="605"/>
      <c r="S178" s="606"/>
    </row>
    <row r="179" spans="2:19" hidden="1" x14ac:dyDescent="0.25">
      <c r="B179" s="753" t="s">
        <v>174</v>
      </c>
      <c r="C179" s="754"/>
      <c r="D179" s="884"/>
      <c r="E179" s="754"/>
      <c r="F179" s="754"/>
      <c r="G179" s="754"/>
      <c r="H179" s="754"/>
      <c r="I179" s="754"/>
      <c r="J179" s="754"/>
      <c r="K179" s="754"/>
      <c r="L179" s="754"/>
      <c r="M179" s="754"/>
      <c r="N179" s="754"/>
      <c r="O179" s="754"/>
      <c r="P179" s="754"/>
      <c r="Q179" s="754"/>
      <c r="R179" s="754"/>
      <c r="S179" s="755"/>
    </row>
    <row r="180" spans="2:19" ht="15" hidden="1" customHeight="1" x14ac:dyDescent="0.25">
      <c r="B180" s="756" t="s">
        <v>181</v>
      </c>
      <c r="C180" s="920"/>
      <c r="D180" s="885"/>
      <c r="E180" s="757"/>
      <c r="F180" s="757"/>
      <c r="G180" s="757"/>
      <c r="H180" s="757"/>
      <c r="I180" s="757"/>
      <c r="J180" s="757"/>
      <c r="K180" s="757"/>
      <c r="L180" s="757"/>
      <c r="M180" s="757"/>
      <c r="N180" s="757"/>
      <c r="O180" s="757"/>
      <c r="P180" s="757"/>
      <c r="Q180" s="757"/>
      <c r="R180" s="757"/>
      <c r="S180" s="758"/>
    </row>
    <row r="181" spans="2:19" ht="15" hidden="1" customHeight="1" x14ac:dyDescent="0.25">
      <c r="B181" s="509" t="s">
        <v>4</v>
      </c>
      <c r="C181" s="750"/>
      <c r="E181" s="607"/>
      <c r="F181" s="608" t="s">
        <v>214</v>
      </c>
      <c r="G181" s="609" t="e">
        <f>AVERAGE(H181:S181)</f>
        <v>#DIV/0!</v>
      </c>
      <c r="H181" s="511"/>
      <c r="I181" s="512"/>
      <c r="J181" s="512"/>
      <c r="K181" s="512"/>
      <c r="L181" s="512"/>
      <c r="M181" s="512"/>
      <c r="N181" s="512"/>
      <c r="O181" s="610"/>
      <c r="P181" s="610"/>
      <c r="Q181" s="610"/>
      <c r="R181" s="610"/>
      <c r="S181" s="611"/>
    </row>
    <row r="182" spans="2:19" ht="15" hidden="1" customHeight="1" x14ac:dyDescent="0.25">
      <c r="B182" s="522" t="s">
        <v>177</v>
      </c>
      <c r="C182" s="750"/>
      <c r="E182" s="607"/>
      <c r="F182" s="612" t="s">
        <v>215</v>
      </c>
      <c r="G182" s="613" t="e">
        <f>AVERAGE(H182:S182)</f>
        <v>#DIV/0!</v>
      </c>
      <c r="H182" s="614"/>
      <c r="I182" s="614"/>
      <c r="J182" s="614"/>
      <c r="K182" s="614"/>
      <c r="L182" s="614"/>
      <c r="M182" s="614"/>
      <c r="N182" s="614"/>
      <c r="O182" s="615"/>
      <c r="P182" s="615"/>
      <c r="Q182" s="615"/>
      <c r="R182" s="615"/>
      <c r="S182" s="616"/>
    </row>
    <row r="183" spans="2:19" ht="15" hidden="1" customHeight="1" x14ac:dyDescent="0.25">
      <c r="B183" s="522" t="s">
        <v>180</v>
      </c>
      <c r="C183" s="750"/>
      <c r="E183" s="607"/>
      <c r="F183" s="612" t="s">
        <v>216</v>
      </c>
      <c r="G183" s="613" t="e">
        <f>((ROUND(G181/G182,0)&amp;" : "&amp;"1"))</f>
        <v>#DIV/0!</v>
      </c>
      <c r="H183" s="614" t="e">
        <f>((ROUND(H181/H182,0)&amp;" : "&amp;"1"))</f>
        <v>#DIV/0!</v>
      </c>
      <c r="I183" s="614" t="e">
        <f t="shared" ref="I183:S183" si="16">((ROUND(I181/I182,0)&amp;" : "&amp;"1"))</f>
        <v>#DIV/0!</v>
      </c>
      <c r="J183" s="614" t="e">
        <f t="shared" si="16"/>
        <v>#DIV/0!</v>
      </c>
      <c r="K183" s="614" t="e">
        <f t="shared" si="16"/>
        <v>#DIV/0!</v>
      </c>
      <c r="L183" s="614" t="e">
        <f t="shared" si="16"/>
        <v>#DIV/0!</v>
      </c>
      <c r="M183" s="614" t="e">
        <f t="shared" si="16"/>
        <v>#DIV/0!</v>
      </c>
      <c r="N183" s="614" t="e">
        <f t="shared" si="16"/>
        <v>#DIV/0!</v>
      </c>
      <c r="O183" s="614" t="e">
        <f t="shared" si="16"/>
        <v>#DIV/0!</v>
      </c>
      <c r="P183" s="614" t="e">
        <f t="shared" si="16"/>
        <v>#DIV/0!</v>
      </c>
      <c r="Q183" s="614" t="e">
        <f t="shared" si="16"/>
        <v>#DIV/0!</v>
      </c>
      <c r="R183" s="614" t="e">
        <f t="shared" si="16"/>
        <v>#DIV/0!</v>
      </c>
      <c r="S183" s="616" t="e">
        <f t="shared" si="16"/>
        <v>#DIV/0!</v>
      </c>
    </row>
    <row r="184" spans="2:19" ht="15" hidden="1" customHeight="1" x14ac:dyDescent="0.25">
      <c r="B184" s="514" t="s">
        <v>179</v>
      </c>
      <c r="C184" s="750"/>
      <c r="E184" s="607"/>
      <c r="F184" s="617" t="s">
        <v>184</v>
      </c>
      <c r="G184" s="618" t="s">
        <v>184</v>
      </c>
      <c r="H184" s="619" t="s">
        <v>184</v>
      </c>
      <c r="I184" s="619" t="s">
        <v>184</v>
      </c>
      <c r="J184" s="619" t="s">
        <v>184</v>
      </c>
      <c r="K184" s="619" t="s">
        <v>184</v>
      </c>
      <c r="L184" s="619" t="s">
        <v>184</v>
      </c>
      <c r="M184" s="619" t="s">
        <v>184</v>
      </c>
      <c r="N184" s="619" t="s">
        <v>184</v>
      </c>
      <c r="O184" s="619" t="s">
        <v>184</v>
      </c>
      <c r="P184" s="619" t="s">
        <v>184</v>
      </c>
      <c r="Q184" s="619" t="s">
        <v>184</v>
      </c>
      <c r="R184" s="619" t="s">
        <v>184</v>
      </c>
      <c r="S184" s="620" t="s">
        <v>184</v>
      </c>
    </row>
    <row r="185" spans="2:19" ht="15" hidden="1" customHeight="1" x14ac:dyDescent="0.25">
      <c r="B185" s="756" t="s">
        <v>191</v>
      </c>
      <c r="C185" s="920"/>
      <c r="D185" s="885"/>
      <c r="E185" s="621"/>
      <c r="F185" s="622"/>
      <c r="G185" s="622"/>
      <c r="H185" s="622"/>
      <c r="I185" s="622"/>
      <c r="J185" s="622"/>
      <c r="K185" s="622"/>
      <c r="L185" s="622"/>
      <c r="M185" s="622"/>
      <c r="N185" s="622"/>
      <c r="O185" s="622"/>
      <c r="P185" s="622"/>
      <c r="Q185" s="622"/>
      <c r="R185" s="622"/>
      <c r="S185" s="623"/>
    </row>
    <row r="186" spans="2:19" ht="15" hidden="1" customHeight="1" x14ac:dyDescent="0.25">
      <c r="B186" s="509" t="s">
        <v>178</v>
      </c>
      <c r="C186" s="750"/>
      <c r="E186" s="607"/>
      <c r="F186" s="608" t="s">
        <v>217</v>
      </c>
      <c r="G186" s="624" t="e">
        <f>AVERAGE(H186:S186)</f>
        <v>#DIV/0!</v>
      </c>
      <c r="H186" s="625"/>
      <c r="I186" s="625"/>
      <c r="J186" s="625"/>
      <c r="K186" s="625"/>
      <c r="L186" s="625"/>
      <c r="M186" s="625"/>
      <c r="N186" s="625"/>
      <c r="O186" s="625"/>
      <c r="P186" s="625"/>
      <c r="Q186" s="610"/>
      <c r="R186" s="610"/>
      <c r="S186" s="611"/>
    </row>
    <row r="187" spans="2:19" ht="15" hidden="1" customHeight="1" x14ac:dyDescent="0.25">
      <c r="B187" s="522" t="s">
        <v>177</v>
      </c>
      <c r="C187" s="750"/>
      <c r="E187" s="607"/>
      <c r="F187" s="612" t="s">
        <v>218</v>
      </c>
      <c r="G187" s="626" t="e">
        <f>AVERAGE(H187:S187)</f>
        <v>#DIV/0!</v>
      </c>
      <c r="H187" s="627"/>
      <c r="I187" s="627"/>
      <c r="J187" s="627"/>
      <c r="K187" s="627"/>
      <c r="L187" s="627"/>
      <c r="M187" s="627"/>
      <c r="N187" s="627"/>
      <c r="O187" s="627"/>
      <c r="P187" s="627"/>
      <c r="Q187" s="615"/>
      <c r="R187" s="615"/>
      <c r="S187" s="616"/>
    </row>
    <row r="188" spans="2:19" ht="15" hidden="1" customHeight="1" x14ac:dyDescent="0.25">
      <c r="B188" s="522" t="s">
        <v>180</v>
      </c>
      <c r="C188" s="750"/>
      <c r="E188" s="607"/>
      <c r="F188" s="612" t="s">
        <v>219</v>
      </c>
      <c r="G188" s="626" t="e">
        <f>((ROUND(G186/G187,0)&amp;" : "&amp;"1"))</f>
        <v>#DIV/0!</v>
      </c>
      <c r="H188" s="627" t="s">
        <v>136</v>
      </c>
      <c r="I188" s="627" t="s">
        <v>136</v>
      </c>
      <c r="J188" s="615" t="e">
        <f t="shared" ref="J188:S188" si="17">((ROUND(J186/J187,0)&amp;" : "&amp;"1"))</f>
        <v>#DIV/0!</v>
      </c>
      <c r="K188" s="615" t="e">
        <f t="shared" si="17"/>
        <v>#DIV/0!</v>
      </c>
      <c r="L188" s="615" t="e">
        <f t="shared" si="17"/>
        <v>#DIV/0!</v>
      </c>
      <c r="M188" s="615" t="e">
        <f t="shared" si="17"/>
        <v>#DIV/0!</v>
      </c>
      <c r="N188" s="615" t="e">
        <f t="shared" si="17"/>
        <v>#DIV/0!</v>
      </c>
      <c r="O188" s="615" t="e">
        <f t="shared" si="17"/>
        <v>#DIV/0!</v>
      </c>
      <c r="P188" s="615" t="e">
        <f t="shared" si="17"/>
        <v>#DIV/0!</v>
      </c>
      <c r="Q188" s="615" t="e">
        <f t="shared" si="17"/>
        <v>#DIV/0!</v>
      </c>
      <c r="R188" s="615" t="e">
        <f t="shared" si="17"/>
        <v>#DIV/0!</v>
      </c>
      <c r="S188" s="616" t="e">
        <f t="shared" si="17"/>
        <v>#DIV/0!</v>
      </c>
    </row>
    <row r="189" spans="2:19" ht="15" hidden="1" customHeight="1" x14ac:dyDescent="0.25">
      <c r="B189" s="514" t="s">
        <v>179</v>
      </c>
      <c r="C189" s="750"/>
      <c r="E189" s="607"/>
      <c r="F189" s="617" t="s">
        <v>185</v>
      </c>
      <c r="G189" s="618" t="s">
        <v>185</v>
      </c>
      <c r="H189" s="619" t="s">
        <v>185</v>
      </c>
      <c r="I189" s="619" t="s">
        <v>185</v>
      </c>
      <c r="J189" s="628" t="s">
        <v>185</v>
      </c>
      <c r="K189" s="628" t="s">
        <v>185</v>
      </c>
      <c r="L189" s="628" t="s">
        <v>185</v>
      </c>
      <c r="M189" s="628" t="s">
        <v>185</v>
      </c>
      <c r="N189" s="628" t="s">
        <v>185</v>
      </c>
      <c r="O189" s="628" t="s">
        <v>185</v>
      </c>
      <c r="P189" s="628" t="s">
        <v>185</v>
      </c>
      <c r="Q189" s="628" t="s">
        <v>185</v>
      </c>
      <c r="R189" s="628" t="s">
        <v>185</v>
      </c>
      <c r="S189" s="620" t="s">
        <v>185</v>
      </c>
    </row>
    <row r="190" spans="2:19" ht="15" hidden="1" customHeight="1" x14ac:dyDescent="0.25">
      <c r="B190" s="756" t="s">
        <v>182</v>
      </c>
      <c r="C190" s="920"/>
      <c r="D190" s="885"/>
      <c r="E190" s="621"/>
      <c r="F190" s="622"/>
      <c r="G190" s="622"/>
      <c r="H190" s="622"/>
      <c r="I190" s="622"/>
      <c r="J190" s="622"/>
      <c r="K190" s="622"/>
      <c r="L190" s="622"/>
      <c r="M190" s="622"/>
      <c r="N190" s="622"/>
      <c r="O190" s="622"/>
      <c r="P190" s="622"/>
      <c r="Q190" s="622"/>
      <c r="R190" s="622"/>
      <c r="S190" s="623"/>
    </row>
    <row r="191" spans="2:19" ht="15" hidden="1" customHeight="1" x14ac:dyDescent="0.25">
      <c r="B191" s="509" t="s">
        <v>178</v>
      </c>
      <c r="C191" s="750"/>
      <c r="E191" s="607"/>
      <c r="F191" s="608" t="s">
        <v>220</v>
      </c>
      <c r="G191" s="609" t="e">
        <f>AVERAGE(H191:S191)</f>
        <v>#DIV/0!</v>
      </c>
      <c r="H191" s="629"/>
      <c r="I191" s="512"/>
      <c r="J191" s="512"/>
      <c r="K191" s="512"/>
      <c r="L191" s="512"/>
      <c r="M191" s="512"/>
      <c r="N191" s="512"/>
      <c r="O191" s="610"/>
      <c r="P191" s="610"/>
      <c r="Q191" s="610"/>
      <c r="R191" s="610"/>
      <c r="S191" s="611"/>
    </row>
    <row r="192" spans="2:19" ht="15" hidden="1" customHeight="1" x14ac:dyDescent="0.25">
      <c r="B192" s="522" t="s">
        <v>177</v>
      </c>
      <c r="C192" s="750"/>
      <c r="E192" s="607"/>
      <c r="F192" s="612" t="s">
        <v>221</v>
      </c>
      <c r="G192" s="613" t="e">
        <f>AVERAGE(H192:S192)</f>
        <v>#DIV/0!</v>
      </c>
      <c r="H192" s="630"/>
      <c r="I192" s="520"/>
      <c r="J192" s="615"/>
      <c r="K192" s="520"/>
      <c r="L192" s="520"/>
      <c r="M192" s="520"/>
      <c r="N192" s="520"/>
      <c r="O192" s="615"/>
      <c r="P192" s="615"/>
      <c r="Q192" s="615"/>
      <c r="R192" s="615"/>
      <c r="S192" s="616"/>
    </row>
    <row r="193" spans="2:19" ht="15" hidden="1" customHeight="1" x14ac:dyDescent="0.25">
      <c r="B193" s="522" t="s">
        <v>180</v>
      </c>
      <c r="C193" s="750"/>
      <c r="E193" s="607"/>
      <c r="F193" s="612" t="s">
        <v>222</v>
      </c>
      <c r="G193" s="613" t="e">
        <f>((ROUND(G191/G192,0)&amp;" : "&amp;"1"))</f>
        <v>#DIV/0!</v>
      </c>
      <c r="H193" s="614" t="e">
        <f>((ROUND(H191/H192,0)&amp;" : "&amp;"1"))</f>
        <v>#DIV/0!</v>
      </c>
      <c r="I193" s="614" t="e">
        <f t="shared" ref="I193:O193" si="18">((ROUND(I191/I192,0)&amp;" : "&amp;"1"))</f>
        <v>#DIV/0!</v>
      </c>
      <c r="J193" s="614" t="e">
        <f t="shared" si="18"/>
        <v>#DIV/0!</v>
      </c>
      <c r="K193" s="614" t="e">
        <f t="shared" si="18"/>
        <v>#DIV/0!</v>
      </c>
      <c r="L193" s="614" t="e">
        <f t="shared" si="18"/>
        <v>#DIV/0!</v>
      </c>
      <c r="M193" s="614" t="e">
        <f t="shared" si="18"/>
        <v>#DIV/0!</v>
      </c>
      <c r="N193" s="614" t="e">
        <f t="shared" si="18"/>
        <v>#DIV/0!</v>
      </c>
      <c r="O193" s="614" t="e">
        <f t="shared" si="18"/>
        <v>#DIV/0!</v>
      </c>
      <c r="P193" s="614" t="e">
        <f>((ROUND(P191/P192,0)&amp;" : "&amp;"1"))</f>
        <v>#DIV/0!</v>
      </c>
      <c r="Q193" s="614" t="e">
        <f>((ROUND(Q191/Q192,0)&amp;" : "&amp;"1"))</f>
        <v>#DIV/0!</v>
      </c>
      <c r="R193" s="614" t="e">
        <f>((ROUND(R191/R192,0)&amp;" : "&amp;"1"))</f>
        <v>#DIV/0!</v>
      </c>
      <c r="S193" s="631" t="e">
        <f>((ROUND(S191/S192,0)&amp;" : "&amp;"1"))</f>
        <v>#DIV/0!</v>
      </c>
    </row>
    <row r="194" spans="2:19" ht="15" hidden="1" customHeight="1" x14ac:dyDescent="0.25">
      <c r="B194" s="514" t="s">
        <v>179</v>
      </c>
      <c r="C194" s="750"/>
      <c r="E194" s="607"/>
      <c r="F194" s="617" t="s">
        <v>185</v>
      </c>
      <c r="G194" s="618" t="s">
        <v>185</v>
      </c>
      <c r="H194" s="619" t="s">
        <v>185</v>
      </c>
      <c r="I194" s="619" t="s">
        <v>185</v>
      </c>
      <c r="J194" s="619" t="s">
        <v>185</v>
      </c>
      <c r="K194" s="619" t="s">
        <v>185</v>
      </c>
      <c r="L194" s="619" t="s">
        <v>185</v>
      </c>
      <c r="M194" s="619" t="s">
        <v>185</v>
      </c>
      <c r="N194" s="619" t="s">
        <v>185</v>
      </c>
      <c r="O194" s="619" t="s">
        <v>185</v>
      </c>
      <c r="P194" s="619" t="s">
        <v>185</v>
      </c>
      <c r="Q194" s="619" t="s">
        <v>185</v>
      </c>
      <c r="R194" s="619" t="s">
        <v>185</v>
      </c>
      <c r="S194" s="632" t="s">
        <v>185</v>
      </c>
    </row>
    <row r="195" spans="2:19" hidden="1" x14ac:dyDescent="0.25">
      <c r="B195" s="753" t="s">
        <v>183</v>
      </c>
      <c r="C195" s="754"/>
      <c r="D195" s="884"/>
      <c r="E195" s="633"/>
      <c r="F195" s="634"/>
      <c r="G195" s="634"/>
      <c r="H195" s="634"/>
      <c r="I195" s="634"/>
      <c r="J195" s="634"/>
      <c r="K195" s="634"/>
      <c r="L195" s="634"/>
      <c r="M195" s="634"/>
      <c r="N195" s="634"/>
      <c r="O195" s="634"/>
      <c r="P195" s="634"/>
      <c r="Q195" s="634"/>
      <c r="R195" s="634"/>
      <c r="S195" s="635"/>
    </row>
    <row r="196" spans="2:19" ht="15" hidden="1" customHeight="1" x14ac:dyDescent="0.25">
      <c r="B196" s="756" t="s">
        <v>175</v>
      </c>
      <c r="C196" s="920"/>
      <c r="D196" s="885"/>
      <c r="E196" s="621"/>
      <c r="F196" s="622"/>
      <c r="G196" s="622"/>
      <c r="H196" s="622"/>
      <c r="I196" s="622"/>
      <c r="J196" s="622"/>
      <c r="K196" s="622"/>
      <c r="L196" s="622"/>
      <c r="M196" s="622"/>
      <c r="N196" s="622"/>
      <c r="O196" s="622"/>
      <c r="P196" s="622"/>
      <c r="Q196" s="622"/>
      <c r="R196" s="622"/>
      <c r="S196" s="623"/>
    </row>
    <row r="197" spans="2:19" ht="15" hidden="1" customHeight="1" x14ac:dyDescent="0.25">
      <c r="B197" s="509" t="s">
        <v>178</v>
      </c>
      <c r="C197" s="750"/>
      <c r="E197" s="607"/>
      <c r="F197" s="608" t="s">
        <v>223</v>
      </c>
      <c r="G197" s="609" t="e">
        <f>AVERAGE(H197:S197)</f>
        <v>#DIV/0!</v>
      </c>
      <c r="H197" s="629"/>
      <c r="I197" s="512"/>
      <c r="J197" s="512"/>
      <c r="K197" s="512"/>
      <c r="L197" s="512"/>
      <c r="M197" s="512"/>
      <c r="N197" s="512"/>
      <c r="O197" s="610"/>
      <c r="P197" s="610"/>
      <c r="Q197" s="610"/>
      <c r="R197" s="610"/>
      <c r="S197" s="611"/>
    </row>
    <row r="198" spans="2:19" ht="15" hidden="1" customHeight="1" x14ac:dyDescent="0.25">
      <c r="B198" s="522" t="s">
        <v>177</v>
      </c>
      <c r="C198" s="750"/>
      <c r="E198" s="607"/>
      <c r="F198" s="612" t="s">
        <v>224</v>
      </c>
      <c r="G198" s="613" t="e">
        <f>AVERAGE(H198:S198)</f>
        <v>#DIV/0!</v>
      </c>
      <c r="H198" s="614"/>
      <c r="I198" s="615"/>
      <c r="J198" s="615"/>
      <c r="K198" s="615"/>
      <c r="L198" s="615"/>
      <c r="M198" s="615"/>
      <c r="N198" s="615"/>
      <c r="O198" s="615"/>
      <c r="P198" s="615"/>
      <c r="Q198" s="615"/>
      <c r="R198" s="615"/>
      <c r="S198" s="616"/>
    </row>
    <row r="199" spans="2:19" ht="15" hidden="1" customHeight="1" x14ac:dyDescent="0.25">
      <c r="B199" s="522" t="s">
        <v>180</v>
      </c>
      <c r="C199" s="750"/>
      <c r="E199" s="607"/>
      <c r="F199" s="612" t="s">
        <v>225</v>
      </c>
      <c r="G199" s="613" t="e">
        <f>((ROUND(G197/G198,0)&amp;" : "&amp;"1"))</f>
        <v>#DIV/0!</v>
      </c>
      <c r="H199" s="614" t="e">
        <f>((ROUND(H197/H198,0)&amp;" : "&amp;"1"))</f>
        <v>#DIV/0!</v>
      </c>
      <c r="I199" s="614" t="e">
        <f t="shared" ref="I199:S199" si="19">((ROUND(I197/I198,0)&amp;" : "&amp;"1"))</f>
        <v>#DIV/0!</v>
      </c>
      <c r="J199" s="614" t="e">
        <f t="shared" si="19"/>
        <v>#DIV/0!</v>
      </c>
      <c r="K199" s="614" t="e">
        <f t="shared" si="19"/>
        <v>#DIV/0!</v>
      </c>
      <c r="L199" s="614" t="e">
        <f t="shared" si="19"/>
        <v>#DIV/0!</v>
      </c>
      <c r="M199" s="614" t="e">
        <f t="shared" si="19"/>
        <v>#DIV/0!</v>
      </c>
      <c r="N199" s="614" t="e">
        <f t="shared" si="19"/>
        <v>#DIV/0!</v>
      </c>
      <c r="O199" s="614" t="e">
        <f t="shared" si="19"/>
        <v>#DIV/0!</v>
      </c>
      <c r="P199" s="614" t="e">
        <f t="shared" si="19"/>
        <v>#DIV/0!</v>
      </c>
      <c r="Q199" s="614" t="e">
        <f t="shared" si="19"/>
        <v>#DIV/0!</v>
      </c>
      <c r="R199" s="614" t="e">
        <f t="shared" si="19"/>
        <v>#DIV/0!</v>
      </c>
      <c r="S199" s="631" t="e">
        <f t="shared" si="19"/>
        <v>#DIV/0!</v>
      </c>
    </row>
    <row r="200" spans="2:19" ht="15" hidden="1" customHeight="1" x14ac:dyDescent="0.25">
      <c r="B200" s="514" t="s">
        <v>179</v>
      </c>
      <c r="C200" s="750"/>
      <c r="E200" s="607"/>
      <c r="F200" s="617" t="s">
        <v>186</v>
      </c>
      <c r="G200" s="618" t="s">
        <v>186</v>
      </c>
      <c r="H200" s="619" t="s">
        <v>186</v>
      </c>
      <c r="I200" s="619" t="s">
        <v>186</v>
      </c>
      <c r="J200" s="619" t="s">
        <v>186</v>
      </c>
      <c r="K200" s="619" t="s">
        <v>186</v>
      </c>
      <c r="L200" s="619" t="s">
        <v>186</v>
      </c>
      <c r="M200" s="619" t="s">
        <v>186</v>
      </c>
      <c r="N200" s="619" t="s">
        <v>186</v>
      </c>
      <c r="O200" s="619" t="s">
        <v>186</v>
      </c>
      <c r="P200" s="619" t="s">
        <v>186</v>
      </c>
      <c r="Q200" s="619" t="s">
        <v>186</v>
      </c>
      <c r="R200" s="619" t="s">
        <v>186</v>
      </c>
      <c r="S200" s="632" t="s">
        <v>186</v>
      </c>
    </row>
    <row r="201" spans="2:19" ht="15" hidden="1" customHeight="1" x14ac:dyDescent="0.25">
      <c r="B201" s="756" t="s">
        <v>176</v>
      </c>
      <c r="C201" s="920"/>
      <c r="D201" s="885"/>
      <c r="E201" s="621"/>
      <c r="F201" s="622"/>
      <c r="G201" s="622"/>
      <c r="H201" s="622"/>
      <c r="I201" s="622"/>
      <c r="J201" s="622"/>
      <c r="K201" s="622"/>
      <c r="L201" s="622"/>
      <c r="M201" s="622"/>
      <c r="N201" s="622"/>
      <c r="O201" s="622"/>
      <c r="P201" s="622"/>
      <c r="Q201" s="622"/>
      <c r="R201" s="622"/>
      <c r="S201" s="623"/>
    </row>
    <row r="202" spans="2:19" ht="15" hidden="1" customHeight="1" x14ac:dyDescent="0.25">
      <c r="B202" s="509" t="s">
        <v>178</v>
      </c>
      <c r="C202" s="750"/>
      <c r="E202" s="607"/>
      <c r="F202" s="608" t="s">
        <v>226</v>
      </c>
      <c r="G202" s="609" t="e">
        <f>AVERAGE(H202:S202)</f>
        <v>#DIV/0!</v>
      </c>
      <c r="H202" s="636"/>
      <c r="I202" s="610"/>
      <c r="J202" s="610"/>
      <c r="K202" s="610"/>
      <c r="L202" s="610"/>
      <c r="M202" s="610"/>
      <c r="N202" s="610"/>
      <c r="O202" s="610"/>
      <c r="P202" s="610"/>
      <c r="Q202" s="610"/>
      <c r="R202" s="610"/>
      <c r="S202" s="611"/>
    </row>
    <row r="203" spans="2:19" ht="15" hidden="1" customHeight="1" x14ac:dyDescent="0.25">
      <c r="B203" s="522" t="s">
        <v>177</v>
      </c>
      <c r="C203" s="750"/>
      <c r="E203" s="607"/>
      <c r="F203" s="612" t="s">
        <v>227</v>
      </c>
      <c r="G203" s="613" t="e">
        <f>AVERAGE(H203:S203)</f>
        <v>#DIV/0!</v>
      </c>
      <c r="H203" s="614"/>
      <c r="I203" s="615"/>
      <c r="J203" s="615"/>
      <c r="K203" s="615"/>
      <c r="L203" s="615"/>
      <c r="M203" s="615"/>
      <c r="N203" s="615"/>
      <c r="O203" s="615"/>
      <c r="P203" s="615"/>
      <c r="Q203" s="615"/>
      <c r="R203" s="615"/>
      <c r="S203" s="616"/>
    </row>
    <row r="204" spans="2:19" ht="15" hidden="1" customHeight="1" x14ac:dyDescent="0.25">
      <c r="B204" s="522" t="s">
        <v>180</v>
      </c>
      <c r="C204" s="750"/>
      <c r="E204" s="607"/>
      <c r="F204" s="612" t="s">
        <v>222</v>
      </c>
      <c r="G204" s="613" t="e">
        <f>((ROUND(G202/G203,0)&amp;" : "&amp;"1"))</f>
        <v>#DIV/0!</v>
      </c>
      <c r="H204" s="614" t="e">
        <f>((ROUND(H202/H203,0)&amp;" : "&amp;"1"))</f>
        <v>#DIV/0!</v>
      </c>
      <c r="I204" s="614" t="e">
        <f t="shared" ref="I204:S204" si="20">((ROUND(I202/I203,0)&amp;" : "&amp;"1"))</f>
        <v>#DIV/0!</v>
      </c>
      <c r="J204" s="614" t="e">
        <f t="shared" si="20"/>
        <v>#DIV/0!</v>
      </c>
      <c r="K204" s="614" t="e">
        <f t="shared" si="20"/>
        <v>#DIV/0!</v>
      </c>
      <c r="L204" s="614" t="e">
        <f t="shared" si="20"/>
        <v>#DIV/0!</v>
      </c>
      <c r="M204" s="614" t="e">
        <f t="shared" si="20"/>
        <v>#DIV/0!</v>
      </c>
      <c r="N204" s="614" t="e">
        <f t="shared" si="20"/>
        <v>#DIV/0!</v>
      </c>
      <c r="O204" s="614" t="e">
        <f t="shared" si="20"/>
        <v>#DIV/0!</v>
      </c>
      <c r="P204" s="614" t="e">
        <f t="shared" si="20"/>
        <v>#DIV/0!</v>
      </c>
      <c r="Q204" s="614" t="e">
        <f t="shared" si="20"/>
        <v>#DIV/0!</v>
      </c>
      <c r="R204" s="614" t="e">
        <f t="shared" si="20"/>
        <v>#DIV/0!</v>
      </c>
      <c r="S204" s="631" t="e">
        <f t="shared" si="20"/>
        <v>#DIV/0!</v>
      </c>
    </row>
    <row r="205" spans="2:19" ht="15" hidden="1" customHeight="1" x14ac:dyDescent="0.25">
      <c r="B205" s="759" t="s">
        <v>179</v>
      </c>
      <c r="C205" s="914"/>
      <c r="D205" s="880"/>
      <c r="E205" s="637"/>
      <c r="F205" s="638" t="s">
        <v>186</v>
      </c>
      <c r="G205" s="639" t="s">
        <v>186</v>
      </c>
      <c r="H205" s="640" t="s">
        <v>186</v>
      </c>
      <c r="I205" s="640" t="s">
        <v>186</v>
      </c>
      <c r="J205" s="640" t="s">
        <v>186</v>
      </c>
      <c r="K205" s="640" t="s">
        <v>186</v>
      </c>
      <c r="L205" s="640" t="s">
        <v>186</v>
      </c>
      <c r="M205" s="640" t="s">
        <v>186</v>
      </c>
      <c r="N205" s="640" t="s">
        <v>186</v>
      </c>
      <c r="O205" s="640" t="s">
        <v>186</v>
      </c>
      <c r="P205" s="640" t="s">
        <v>186</v>
      </c>
      <c r="Q205" s="640" t="s">
        <v>186</v>
      </c>
      <c r="R205" s="640" t="s">
        <v>186</v>
      </c>
      <c r="S205" s="641" t="s">
        <v>186</v>
      </c>
    </row>
    <row r="206" spans="2:19" hidden="1" x14ac:dyDescent="0.25">
      <c r="B206" s="753" t="s">
        <v>43</v>
      </c>
      <c r="C206" s="754"/>
      <c r="D206" s="884"/>
      <c r="E206" s="633"/>
      <c r="F206" s="634"/>
      <c r="G206" s="633"/>
      <c r="H206" s="633"/>
      <c r="I206" s="633"/>
      <c r="J206" s="633"/>
      <c r="K206" s="633"/>
      <c r="L206" s="633"/>
      <c r="M206" s="633"/>
      <c r="N206" s="633"/>
      <c r="O206" s="633"/>
      <c r="P206" s="633"/>
      <c r="Q206" s="633"/>
      <c r="R206" s="633"/>
      <c r="S206" s="642"/>
    </row>
    <row r="207" spans="2:19" ht="15" hidden="1" customHeight="1" x14ac:dyDescent="0.25">
      <c r="B207" s="756" t="s">
        <v>44</v>
      </c>
      <c r="C207" s="920"/>
      <c r="D207" s="885"/>
      <c r="E207" s="621"/>
      <c r="F207" s="622"/>
      <c r="G207" s="621"/>
      <c r="H207" s="621"/>
      <c r="I207" s="621"/>
      <c r="J207" s="621"/>
      <c r="K207" s="621"/>
      <c r="L207" s="621"/>
      <c r="M207" s="621"/>
      <c r="N207" s="621"/>
      <c r="O207" s="621"/>
      <c r="P207" s="621"/>
      <c r="Q207" s="621"/>
      <c r="R207" s="621"/>
      <c r="S207" s="643"/>
    </row>
    <row r="208" spans="2:19" ht="15" hidden="1" customHeight="1" x14ac:dyDescent="0.25">
      <c r="B208" s="509" t="s">
        <v>178</v>
      </c>
      <c r="C208" s="750"/>
      <c r="E208" s="607"/>
      <c r="F208" s="608" t="s">
        <v>228</v>
      </c>
      <c r="G208" s="609" t="e">
        <f>AVERAGE(H208:S208)</f>
        <v>#DIV/0!</v>
      </c>
      <c r="H208" s="636"/>
      <c r="I208" s="610"/>
      <c r="J208" s="610"/>
      <c r="K208" s="610"/>
      <c r="L208" s="610"/>
      <c r="M208" s="610"/>
      <c r="N208" s="610"/>
      <c r="O208" s="610"/>
      <c r="P208" s="610"/>
      <c r="Q208" s="610"/>
      <c r="R208" s="610"/>
      <c r="S208" s="611"/>
    </row>
    <row r="209" spans="2:19" ht="15" hidden="1" customHeight="1" x14ac:dyDescent="0.25">
      <c r="B209" s="522" t="s">
        <v>177</v>
      </c>
      <c r="C209" s="750"/>
      <c r="E209" s="607"/>
      <c r="F209" s="612" t="s">
        <v>210</v>
      </c>
      <c r="G209" s="613" t="e">
        <f>AVERAGE(H209:S209)</f>
        <v>#DIV/0!</v>
      </c>
      <c r="H209" s="614"/>
      <c r="I209" s="615"/>
      <c r="J209" s="615"/>
      <c r="K209" s="615"/>
      <c r="L209" s="615"/>
      <c r="M209" s="615"/>
      <c r="N209" s="615"/>
      <c r="O209" s="615"/>
      <c r="P209" s="615"/>
      <c r="Q209" s="615"/>
      <c r="R209" s="615"/>
      <c r="S209" s="616"/>
    </row>
    <row r="210" spans="2:19" ht="15" hidden="1" customHeight="1" x14ac:dyDescent="0.25">
      <c r="B210" s="522" t="s">
        <v>180</v>
      </c>
      <c r="C210" s="750"/>
      <c r="E210" s="607"/>
      <c r="F210" s="612" t="s">
        <v>229</v>
      </c>
      <c r="G210" s="613" t="e">
        <f>((ROUND(G208/G209,0)&amp;" : "&amp;"1"))</f>
        <v>#DIV/0!</v>
      </c>
      <c r="H210" s="614" t="e">
        <f>((ROUND(H208/H209,0)&amp;" : "&amp;"1"))</f>
        <v>#DIV/0!</v>
      </c>
      <c r="I210" s="614" t="e">
        <f t="shared" ref="I210:S210" si="21">((ROUND(I208/I209,0)&amp;" : "&amp;"1"))</f>
        <v>#DIV/0!</v>
      </c>
      <c r="J210" s="614" t="e">
        <f t="shared" si="21"/>
        <v>#DIV/0!</v>
      </c>
      <c r="K210" s="614" t="e">
        <f t="shared" si="21"/>
        <v>#DIV/0!</v>
      </c>
      <c r="L210" s="614" t="e">
        <f t="shared" si="21"/>
        <v>#DIV/0!</v>
      </c>
      <c r="M210" s="614" t="e">
        <f t="shared" si="21"/>
        <v>#DIV/0!</v>
      </c>
      <c r="N210" s="614" t="e">
        <f t="shared" si="21"/>
        <v>#DIV/0!</v>
      </c>
      <c r="O210" s="614" t="e">
        <f t="shared" si="21"/>
        <v>#DIV/0!</v>
      </c>
      <c r="P210" s="614" t="e">
        <f t="shared" si="21"/>
        <v>#DIV/0!</v>
      </c>
      <c r="Q210" s="614" t="e">
        <f t="shared" si="21"/>
        <v>#DIV/0!</v>
      </c>
      <c r="R210" s="614" t="e">
        <f t="shared" si="21"/>
        <v>#DIV/0!</v>
      </c>
      <c r="S210" s="616" t="e">
        <f t="shared" si="21"/>
        <v>#DIV/0!</v>
      </c>
    </row>
    <row r="211" spans="2:19" ht="15" hidden="1" customHeight="1" x14ac:dyDescent="0.25">
      <c r="B211" s="514" t="s">
        <v>179</v>
      </c>
      <c r="C211" s="750"/>
      <c r="E211" s="607"/>
      <c r="F211" s="617" t="s">
        <v>187</v>
      </c>
      <c r="G211" s="644" t="s">
        <v>187</v>
      </c>
      <c r="H211" s="645" t="s">
        <v>187</v>
      </c>
      <c r="I211" s="645" t="s">
        <v>187</v>
      </c>
      <c r="J211" s="645" t="s">
        <v>187</v>
      </c>
      <c r="K211" s="645" t="s">
        <v>187</v>
      </c>
      <c r="L211" s="645" t="s">
        <v>187</v>
      </c>
      <c r="M211" s="645" t="s">
        <v>187</v>
      </c>
      <c r="N211" s="645" t="s">
        <v>187</v>
      </c>
      <c r="O211" s="645" t="s">
        <v>187</v>
      </c>
      <c r="P211" s="645" t="s">
        <v>187</v>
      </c>
      <c r="Q211" s="645" t="s">
        <v>187</v>
      </c>
      <c r="R211" s="645" t="s">
        <v>187</v>
      </c>
      <c r="S211" s="646" t="s">
        <v>187</v>
      </c>
    </row>
    <row r="212" spans="2:19" ht="15" hidden="1" customHeight="1" x14ac:dyDescent="0.25">
      <c r="B212" s="756" t="s">
        <v>114</v>
      </c>
      <c r="C212" s="920"/>
      <c r="D212" s="885"/>
      <c r="E212" s="621"/>
      <c r="F212" s="622"/>
      <c r="G212" s="621"/>
      <c r="H212" s="621"/>
      <c r="I212" s="621"/>
      <c r="J212" s="621"/>
      <c r="K212" s="621"/>
      <c r="L212" s="621"/>
      <c r="M212" s="621"/>
      <c r="N212" s="621"/>
      <c r="O212" s="621"/>
      <c r="P212" s="621"/>
      <c r="Q212" s="621"/>
      <c r="R212" s="621"/>
      <c r="S212" s="643"/>
    </row>
    <row r="213" spans="2:19" ht="15" hidden="1" customHeight="1" x14ac:dyDescent="0.25">
      <c r="B213" s="509" t="s">
        <v>178</v>
      </c>
      <c r="C213" s="750"/>
      <c r="E213" s="607"/>
      <c r="F213" s="608" t="s">
        <v>230</v>
      </c>
      <c r="G213" s="609" t="e">
        <f>AVERAGE(H213:S213)</f>
        <v>#DIV/0!</v>
      </c>
      <c r="H213" s="636"/>
      <c r="I213" s="610"/>
      <c r="J213" s="610"/>
      <c r="K213" s="610"/>
      <c r="L213" s="610"/>
      <c r="M213" s="610"/>
      <c r="N213" s="610"/>
      <c r="O213" s="610"/>
      <c r="P213" s="610"/>
      <c r="Q213" s="610"/>
      <c r="R213" s="610"/>
      <c r="S213" s="611"/>
    </row>
    <row r="214" spans="2:19" ht="15" hidden="1" customHeight="1" x14ac:dyDescent="0.25">
      <c r="B214" s="522" t="s">
        <v>177</v>
      </c>
      <c r="C214" s="750"/>
      <c r="E214" s="607"/>
      <c r="F214" s="612" t="s">
        <v>231</v>
      </c>
      <c r="G214" s="613" t="e">
        <f>AVERAGE(H214:S214)</f>
        <v>#DIV/0!</v>
      </c>
      <c r="H214" s="614"/>
      <c r="I214" s="615"/>
      <c r="J214" s="615"/>
      <c r="K214" s="615"/>
      <c r="L214" s="615"/>
      <c r="M214" s="615"/>
      <c r="N214" s="615"/>
      <c r="O214" s="615"/>
      <c r="P214" s="615"/>
      <c r="Q214" s="615"/>
      <c r="R214" s="615"/>
      <c r="S214" s="616"/>
    </row>
    <row r="215" spans="2:19" ht="15" hidden="1" customHeight="1" x14ac:dyDescent="0.25">
      <c r="B215" s="522" t="s">
        <v>180</v>
      </c>
      <c r="C215" s="750"/>
      <c r="E215" s="607"/>
      <c r="F215" s="612" t="s">
        <v>187</v>
      </c>
      <c r="G215" s="613" t="e">
        <f>((ROUND(G213/G214,0)&amp;" : "&amp;"1"))</f>
        <v>#DIV/0!</v>
      </c>
      <c r="H215" s="614" t="e">
        <f>((ROUND(H213/H214,0)&amp;" : "&amp;"1"))</f>
        <v>#DIV/0!</v>
      </c>
      <c r="I215" s="614" t="e">
        <f t="shared" ref="I215:S215" si="22">((ROUND(I213/I214,0)&amp;" : "&amp;"1"))</f>
        <v>#DIV/0!</v>
      </c>
      <c r="J215" s="614" t="e">
        <f t="shared" si="22"/>
        <v>#DIV/0!</v>
      </c>
      <c r="K215" s="614" t="e">
        <f t="shared" si="22"/>
        <v>#DIV/0!</v>
      </c>
      <c r="L215" s="614" t="e">
        <f t="shared" si="22"/>
        <v>#DIV/0!</v>
      </c>
      <c r="M215" s="614" t="e">
        <f t="shared" si="22"/>
        <v>#DIV/0!</v>
      </c>
      <c r="N215" s="614" t="e">
        <f t="shared" si="22"/>
        <v>#DIV/0!</v>
      </c>
      <c r="O215" s="614" t="e">
        <f t="shared" si="22"/>
        <v>#DIV/0!</v>
      </c>
      <c r="P215" s="614" t="e">
        <f t="shared" si="22"/>
        <v>#DIV/0!</v>
      </c>
      <c r="Q215" s="614" t="e">
        <f t="shared" si="22"/>
        <v>#DIV/0!</v>
      </c>
      <c r="R215" s="614" t="e">
        <f t="shared" si="22"/>
        <v>#DIV/0!</v>
      </c>
      <c r="S215" s="616" t="e">
        <f t="shared" si="22"/>
        <v>#DIV/0!</v>
      </c>
    </row>
    <row r="216" spans="2:19" ht="15" hidden="1" customHeight="1" x14ac:dyDescent="0.25">
      <c r="B216" s="514" t="s">
        <v>179</v>
      </c>
      <c r="C216" s="750"/>
      <c r="E216" s="607"/>
      <c r="F216" s="617" t="s">
        <v>188</v>
      </c>
      <c r="G216" s="644" t="s">
        <v>188</v>
      </c>
      <c r="H216" s="645" t="s">
        <v>188</v>
      </c>
      <c r="I216" s="645" t="s">
        <v>188</v>
      </c>
      <c r="J216" s="645" t="s">
        <v>188</v>
      </c>
      <c r="K216" s="645" t="s">
        <v>188</v>
      </c>
      <c r="L216" s="645" t="s">
        <v>188</v>
      </c>
      <c r="M216" s="645" t="s">
        <v>188</v>
      </c>
      <c r="N216" s="645" t="s">
        <v>188</v>
      </c>
      <c r="O216" s="645" t="s">
        <v>188</v>
      </c>
      <c r="P216" s="645" t="s">
        <v>188</v>
      </c>
      <c r="Q216" s="645" t="s">
        <v>188</v>
      </c>
      <c r="R216" s="645" t="s">
        <v>188</v>
      </c>
      <c r="S216" s="646" t="s">
        <v>188</v>
      </c>
    </row>
    <row r="217" spans="2:19" ht="15" hidden="1" customHeight="1" x14ac:dyDescent="0.25">
      <c r="B217" s="756" t="s">
        <v>203</v>
      </c>
      <c r="C217" s="920"/>
      <c r="D217" s="885"/>
      <c r="E217" s="621"/>
      <c r="F217" s="622"/>
      <c r="G217" s="621"/>
      <c r="H217" s="621"/>
      <c r="I217" s="621"/>
      <c r="J217" s="621"/>
      <c r="K217" s="621"/>
      <c r="L217" s="621"/>
      <c r="M217" s="621"/>
      <c r="N217" s="621"/>
      <c r="O217" s="621"/>
      <c r="P217" s="621"/>
      <c r="Q217" s="621"/>
      <c r="R217" s="621"/>
      <c r="S217" s="643"/>
    </row>
    <row r="218" spans="2:19" ht="15" hidden="1" customHeight="1" x14ac:dyDescent="0.25">
      <c r="B218" s="509" t="s">
        <v>178</v>
      </c>
      <c r="C218" s="750"/>
      <c r="E218" s="647"/>
      <c r="F218" s="608" t="s">
        <v>232</v>
      </c>
      <c r="G218" s="609" t="e">
        <f>AVERAGE(H218:S218)</f>
        <v>#DIV/0!</v>
      </c>
      <c r="H218" s="636"/>
      <c r="I218" s="610"/>
      <c r="J218" s="610"/>
      <c r="K218" s="610"/>
      <c r="L218" s="648"/>
      <c r="M218" s="610"/>
      <c r="N218" s="610"/>
      <c r="O218" s="610"/>
      <c r="P218" s="610"/>
      <c r="Q218" s="610"/>
      <c r="R218" s="610"/>
      <c r="S218" s="611"/>
    </row>
    <row r="219" spans="2:19" ht="15" hidden="1" customHeight="1" x14ac:dyDescent="0.25">
      <c r="B219" s="522" t="s">
        <v>177</v>
      </c>
      <c r="C219" s="750"/>
      <c r="E219" s="607"/>
      <c r="F219" s="612" t="s">
        <v>218</v>
      </c>
      <c r="G219" s="613" t="e">
        <f>AVERAGE(H219:S219)</f>
        <v>#DIV/0!</v>
      </c>
      <c r="H219" s="614"/>
      <c r="I219" s="615"/>
      <c r="J219" s="615"/>
      <c r="K219" s="615"/>
      <c r="L219" s="648"/>
      <c r="M219" s="615"/>
      <c r="N219" s="615"/>
      <c r="O219" s="615"/>
      <c r="P219" s="615"/>
      <c r="Q219" s="615"/>
      <c r="R219" s="615"/>
      <c r="S219" s="616"/>
    </row>
    <row r="220" spans="2:19" ht="15" hidden="1" customHeight="1" x14ac:dyDescent="0.25">
      <c r="B220" s="522" t="s">
        <v>180</v>
      </c>
      <c r="C220" s="750"/>
      <c r="E220" s="607"/>
      <c r="F220" s="612" t="s">
        <v>233</v>
      </c>
      <c r="G220" s="613" t="e">
        <f>((ROUND(G218/G219,0)&amp;" : "&amp;"1"))</f>
        <v>#DIV/0!</v>
      </c>
      <c r="H220" s="614" t="e">
        <f>((ROUND(H218/H219,0)&amp;" : "&amp;"1"))</f>
        <v>#DIV/0!</v>
      </c>
      <c r="I220" s="614" t="e">
        <f t="shared" ref="I220:S220" si="23">((ROUND(I218/I219,0)&amp;" : "&amp;"1"))</f>
        <v>#DIV/0!</v>
      </c>
      <c r="J220" s="614" t="e">
        <f t="shared" si="23"/>
        <v>#DIV/0!</v>
      </c>
      <c r="K220" s="614" t="e">
        <f t="shared" si="23"/>
        <v>#DIV/0!</v>
      </c>
      <c r="L220" s="614" t="e">
        <f t="shared" si="23"/>
        <v>#DIV/0!</v>
      </c>
      <c r="M220" s="614" t="e">
        <f t="shared" si="23"/>
        <v>#DIV/0!</v>
      </c>
      <c r="N220" s="614" t="e">
        <f t="shared" si="23"/>
        <v>#DIV/0!</v>
      </c>
      <c r="O220" s="614" t="e">
        <f t="shared" si="23"/>
        <v>#DIV/0!</v>
      </c>
      <c r="P220" s="614" t="e">
        <f t="shared" si="23"/>
        <v>#DIV/0!</v>
      </c>
      <c r="Q220" s="614" t="e">
        <f t="shared" si="23"/>
        <v>#DIV/0!</v>
      </c>
      <c r="R220" s="614" t="e">
        <f t="shared" si="23"/>
        <v>#DIV/0!</v>
      </c>
      <c r="S220" s="631" t="e">
        <f t="shared" si="23"/>
        <v>#DIV/0!</v>
      </c>
    </row>
    <row r="221" spans="2:19" ht="15" hidden="1" customHeight="1" x14ac:dyDescent="0.25">
      <c r="B221" s="514" t="s">
        <v>179</v>
      </c>
      <c r="C221" s="750"/>
      <c r="E221" s="607"/>
      <c r="F221" s="617" t="s">
        <v>189</v>
      </c>
      <c r="G221" s="644" t="s">
        <v>189</v>
      </c>
      <c r="H221" s="645" t="s">
        <v>189</v>
      </c>
      <c r="I221" s="645" t="s">
        <v>189</v>
      </c>
      <c r="J221" s="645" t="s">
        <v>189</v>
      </c>
      <c r="K221" s="645" t="s">
        <v>189</v>
      </c>
      <c r="L221" s="645" t="s">
        <v>189</v>
      </c>
      <c r="M221" s="645" t="s">
        <v>189</v>
      </c>
      <c r="N221" s="645" t="s">
        <v>189</v>
      </c>
      <c r="O221" s="645" t="s">
        <v>189</v>
      </c>
      <c r="P221" s="645" t="s">
        <v>189</v>
      </c>
      <c r="Q221" s="645" t="s">
        <v>189</v>
      </c>
      <c r="R221" s="645" t="s">
        <v>189</v>
      </c>
      <c r="S221" s="649" t="s">
        <v>189</v>
      </c>
    </row>
    <row r="222" spans="2:19" ht="15" hidden="1" customHeight="1" x14ac:dyDescent="0.25">
      <c r="B222" s="756" t="s">
        <v>201</v>
      </c>
      <c r="C222" s="920"/>
      <c r="D222" s="885"/>
      <c r="E222" s="621"/>
      <c r="F222" s="622"/>
      <c r="G222" s="650"/>
      <c r="H222" s="621"/>
      <c r="I222" s="621"/>
      <c r="J222" s="621"/>
      <c r="K222" s="1047"/>
      <c r="L222" s="1047"/>
      <c r="M222" s="621"/>
      <c r="N222" s="621"/>
      <c r="O222" s="621"/>
      <c r="P222" s="621"/>
      <c r="Q222" s="621"/>
      <c r="R222" s="621"/>
      <c r="S222" s="643"/>
    </row>
    <row r="223" spans="2:19" ht="15" hidden="1" customHeight="1" x14ac:dyDescent="0.25">
      <c r="B223" s="509" t="s">
        <v>178</v>
      </c>
      <c r="C223" s="750"/>
      <c r="E223" s="607"/>
      <c r="F223" s="608" t="s">
        <v>234</v>
      </c>
      <c r="G223" s="609" t="e">
        <f>AVERAGE(H223:N223)</f>
        <v>#DIV/0!</v>
      </c>
      <c r="H223" s="636"/>
      <c r="I223" s="610"/>
      <c r="J223" s="610"/>
      <c r="K223" s="610"/>
      <c r="L223" s="610"/>
      <c r="M223" s="610"/>
      <c r="N223" s="610"/>
      <c r="O223" s="610"/>
      <c r="P223" s="610"/>
      <c r="Q223" s="610"/>
      <c r="R223" s="610"/>
      <c r="S223" s="611"/>
    </row>
    <row r="224" spans="2:19" ht="15" hidden="1" customHeight="1" x14ac:dyDescent="0.25">
      <c r="B224" s="522" t="s">
        <v>177</v>
      </c>
      <c r="C224" s="750"/>
      <c r="E224" s="607"/>
      <c r="F224" s="612" t="s">
        <v>235</v>
      </c>
      <c r="G224" s="613" t="e">
        <f>AVERAGE(H224:S224)</f>
        <v>#DIV/0!</v>
      </c>
      <c r="H224" s="614"/>
      <c r="I224" s="615"/>
      <c r="J224" s="615"/>
      <c r="K224" s="615"/>
      <c r="L224" s="615"/>
      <c r="M224" s="615"/>
      <c r="N224" s="615"/>
      <c r="O224" s="615"/>
      <c r="P224" s="615"/>
      <c r="Q224" s="615"/>
      <c r="R224" s="615"/>
      <c r="S224" s="616"/>
    </row>
    <row r="225" spans="2:19" ht="15" hidden="1" customHeight="1" x14ac:dyDescent="0.25">
      <c r="B225" s="522" t="s">
        <v>180</v>
      </c>
      <c r="C225" s="750"/>
      <c r="E225" s="607"/>
      <c r="F225" s="612" t="s">
        <v>236</v>
      </c>
      <c r="G225" s="613" t="e">
        <f>((ROUND(G223/G224,0)&amp;" : "&amp;"1"))</f>
        <v>#DIV/0!</v>
      </c>
      <c r="H225" s="614" t="e">
        <f>((ROUND(H223/H224,0)&amp;" : "&amp;"1"))</f>
        <v>#DIV/0!</v>
      </c>
      <c r="I225" s="614" t="e">
        <f t="shared" ref="I225:S225" si="24">((ROUND(I223/I224,0)&amp;" : "&amp;"1"))</f>
        <v>#DIV/0!</v>
      </c>
      <c r="J225" s="614" t="e">
        <f t="shared" si="24"/>
        <v>#DIV/0!</v>
      </c>
      <c r="K225" s="614" t="e">
        <f t="shared" si="24"/>
        <v>#DIV/0!</v>
      </c>
      <c r="L225" s="614" t="e">
        <f t="shared" si="24"/>
        <v>#DIV/0!</v>
      </c>
      <c r="M225" s="614" t="e">
        <f t="shared" si="24"/>
        <v>#DIV/0!</v>
      </c>
      <c r="N225" s="614" t="e">
        <f t="shared" si="24"/>
        <v>#DIV/0!</v>
      </c>
      <c r="O225" s="614" t="e">
        <f t="shared" si="24"/>
        <v>#DIV/0!</v>
      </c>
      <c r="P225" s="614" t="e">
        <f t="shared" si="24"/>
        <v>#DIV/0!</v>
      </c>
      <c r="Q225" s="614" t="e">
        <f t="shared" si="24"/>
        <v>#DIV/0!</v>
      </c>
      <c r="R225" s="614" t="e">
        <f t="shared" si="24"/>
        <v>#DIV/0!</v>
      </c>
      <c r="S225" s="631" t="e">
        <f t="shared" si="24"/>
        <v>#DIV/0!</v>
      </c>
    </row>
    <row r="226" spans="2:19" ht="15" hidden="1" customHeight="1" x14ac:dyDescent="0.25">
      <c r="B226" s="514" t="s">
        <v>179</v>
      </c>
      <c r="C226" s="750"/>
      <c r="E226" s="607"/>
      <c r="F226" s="617" t="s">
        <v>211</v>
      </c>
      <c r="G226" s="618" t="s">
        <v>211</v>
      </c>
      <c r="H226" s="619" t="s">
        <v>211</v>
      </c>
      <c r="I226" s="619" t="s">
        <v>211</v>
      </c>
      <c r="J226" s="619" t="s">
        <v>211</v>
      </c>
      <c r="K226" s="619" t="s">
        <v>211</v>
      </c>
      <c r="L226" s="619" t="s">
        <v>211</v>
      </c>
      <c r="M226" s="619" t="s">
        <v>211</v>
      </c>
      <c r="N226" s="619" t="s">
        <v>211</v>
      </c>
      <c r="O226" s="619" t="s">
        <v>211</v>
      </c>
      <c r="P226" s="619" t="s">
        <v>211</v>
      </c>
      <c r="Q226" s="619" t="s">
        <v>211</v>
      </c>
      <c r="R226" s="619" t="s">
        <v>211</v>
      </c>
      <c r="S226" s="632" t="s">
        <v>211</v>
      </c>
    </row>
    <row r="227" spans="2:19" ht="15" hidden="1" customHeight="1" x14ac:dyDescent="0.25">
      <c r="B227" s="756" t="s">
        <v>163</v>
      </c>
      <c r="C227" s="920"/>
      <c r="D227" s="885"/>
      <c r="E227" s="621"/>
      <c r="F227" s="622"/>
      <c r="G227" s="650"/>
      <c r="H227" s="621"/>
      <c r="I227" s="621"/>
      <c r="J227" s="621"/>
      <c r="K227" s="1047"/>
      <c r="L227" s="1047"/>
      <c r="M227" s="621"/>
      <c r="N227" s="621"/>
      <c r="O227" s="621"/>
      <c r="P227" s="621"/>
      <c r="Q227" s="621"/>
      <c r="R227" s="621"/>
      <c r="S227" s="643"/>
    </row>
    <row r="228" spans="2:19" ht="15" hidden="1" customHeight="1" x14ac:dyDescent="0.25">
      <c r="B228" s="509" t="s">
        <v>178</v>
      </c>
      <c r="C228" s="750"/>
      <c r="E228" s="607"/>
      <c r="F228" s="608" t="s">
        <v>237</v>
      </c>
      <c r="G228" s="609" t="e">
        <f>AVERAGE(H228:S228)</f>
        <v>#DIV/0!</v>
      </c>
      <c r="H228" s="636"/>
      <c r="I228" s="610"/>
      <c r="J228" s="610"/>
      <c r="K228" s="610"/>
      <c r="L228" s="610"/>
      <c r="M228" s="610"/>
      <c r="N228" s="610"/>
      <c r="O228" s="610"/>
      <c r="P228" s="610"/>
      <c r="Q228" s="610"/>
      <c r="R228" s="610"/>
      <c r="S228" s="611"/>
    </row>
    <row r="229" spans="2:19" ht="15" hidden="1" customHeight="1" x14ac:dyDescent="0.25">
      <c r="B229" s="522" t="s">
        <v>177</v>
      </c>
      <c r="C229" s="750"/>
      <c r="E229" s="607"/>
      <c r="F229" s="612" t="s">
        <v>227</v>
      </c>
      <c r="G229" s="613" t="e">
        <f>AVERAGE(H229:S229)</f>
        <v>#DIV/0!</v>
      </c>
      <c r="H229" s="614"/>
      <c r="I229" s="615"/>
      <c r="J229" s="615"/>
      <c r="K229" s="615"/>
      <c r="L229" s="615"/>
      <c r="M229" s="615"/>
      <c r="N229" s="615"/>
      <c r="O229" s="615"/>
      <c r="P229" s="615"/>
      <c r="Q229" s="615"/>
      <c r="R229" s="615"/>
      <c r="S229" s="616"/>
    </row>
    <row r="230" spans="2:19" ht="15" hidden="1" customHeight="1" x14ac:dyDescent="0.25">
      <c r="B230" s="522" t="s">
        <v>180</v>
      </c>
      <c r="C230" s="750"/>
      <c r="E230" s="607"/>
      <c r="F230" s="612" t="s">
        <v>225</v>
      </c>
      <c r="G230" s="613" t="e">
        <f>((ROUND(G228/G229,0)&amp;" : "&amp;"1"))</f>
        <v>#DIV/0!</v>
      </c>
      <c r="H230" s="614" t="e">
        <f>((ROUND(H228/H229,0)&amp;" : "&amp;"1"))</f>
        <v>#DIV/0!</v>
      </c>
      <c r="I230" s="614" t="e">
        <f t="shared" ref="I230:S230" si="25">((ROUND(I228/I229,0)&amp;" : "&amp;"1"))</f>
        <v>#DIV/0!</v>
      </c>
      <c r="J230" s="614" t="e">
        <f t="shared" si="25"/>
        <v>#DIV/0!</v>
      </c>
      <c r="K230" s="614" t="e">
        <f t="shared" si="25"/>
        <v>#DIV/0!</v>
      </c>
      <c r="L230" s="614" t="e">
        <f t="shared" si="25"/>
        <v>#DIV/0!</v>
      </c>
      <c r="M230" s="614" t="e">
        <f t="shared" si="25"/>
        <v>#DIV/0!</v>
      </c>
      <c r="N230" s="614" t="e">
        <f t="shared" si="25"/>
        <v>#DIV/0!</v>
      </c>
      <c r="O230" s="614" t="e">
        <f t="shared" si="25"/>
        <v>#DIV/0!</v>
      </c>
      <c r="P230" s="614" t="e">
        <f t="shared" si="25"/>
        <v>#DIV/0!</v>
      </c>
      <c r="Q230" s="614" t="e">
        <f t="shared" si="25"/>
        <v>#DIV/0!</v>
      </c>
      <c r="R230" s="614" t="e">
        <f t="shared" si="25"/>
        <v>#DIV/0!</v>
      </c>
      <c r="S230" s="631" t="e">
        <f t="shared" si="25"/>
        <v>#DIV/0!</v>
      </c>
    </row>
    <row r="231" spans="2:19" ht="15" hidden="1" customHeight="1" x14ac:dyDescent="0.25">
      <c r="B231" s="514" t="s">
        <v>179</v>
      </c>
      <c r="C231" s="750"/>
      <c r="E231" s="607"/>
      <c r="F231" s="617" t="s">
        <v>212</v>
      </c>
      <c r="G231" s="618" t="s">
        <v>212</v>
      </c>
      <c r="H231" s="619" t="s">
        <v>212</v>
      </c>
      <c r="I231" s="619" t="s">
        <v>212</v>
      </c>
      <c r="J231" s="619" t="s">
        <v>212</v>
      </c>
      <c r="K231" s="619" t="s">
        <v>212</v>
      </c>
      <c r="L231" s="619" t="s">
        <v>212</v>
      </c>
      <c r="M231" s="619" t="s">
        <v>212</v>
      </c>
      <c r="N231" s="619" t="s">
        <v>212</v>
      </c>
      <c r="O231" s="619" t="s">
        <v>212</v>
      </c>
      <c r="P231" s="619" t="s">
        <v>212</v>
      </c>
      <c r="Q231" s="619" t="s">
        <v>212</v>
      </c>
      <c r="R231" s="619" t="s">
        <v>212</v>
      </c>
      <c r="S231" s="632" t="s">
        <v>212</v>
      </c>
    </row>
    <row r="232" spans="2:19" ht="15" hidden="1" customHeight="1" x14ac:dyDescent="0.25">
      <c r="B232" s="756" t="s">
        <v>202</v>
      </c>
      <c r="C232" s="920"/>
      <c r="D232" s="885"/>
      <c r="E232" s="621"/>
      <c r="F232" s="622"/>
      <c r="G232" s="650"/>
      <c r="H232" s="621"/>
      <c r="I232" s="621"/>
      <c r="J232" s="621"/>
      <c r="K232" s="1047"/>
      <c r="L232" s="1047"/>
      <c r="M232" s="621"/>
      <c r="N232" s="621"/>
      <c r="O232" s="621"/>
      <c r="P232" s="621"/>
      <c r="Q232" s="621"/>
      <c r="R232" s="621"/>
      <c r="S232" s="643"/>
    </row>
    <row r="233" spans="2:19" ht="15" hidden="1" customHeight="1" x14ac:dyDescent="0.25">
      <c r="B233" s="509" t="s">
        <v>178</v>
      </c>
      <c r="C233" s="750"/>
      <c r="E233" s="607"/>
      <c r="F233" s="608" t="s">
        <v>238</v>
      </c>
      <c r="G233" s="609" t="e">
        <f>AVERAGE(H233:S233)</f>
        <v>#DIV/0!</v>
      </c>
      <c r="H233" s="636"/>
      <c r="I233" s="610"/>
      <c r="J233" s="610"/>
      <c r="K233" s="610"/>
      <c r="L233" s="610"/>
      <c r="M233" s="610"/>
      <c r="N233" s="610"/>
      <c r="O233" s="610"/>
      <c r="P233" s="610"/>
      <c r="Q233" s="610"/>
      <c r="R233" s="610"/>
      <c r="S233" s="611"/>
    </row>
    <row r="234" spans="2:19" ht="15" hidden="1" customHeight="1" x14ac:dyDescent="0.25">
      <c r="B234" s="522" t="s">
        <v>177</v>
      </c>
      <c r="C234" s="750"/>
      <c r="E234" s="607"/>
      <c r="F234" s="612" t="s">
        <v>235</v>
      </c>
      <c r="G234" s="613" t="e">
        <f>AVERAGE(H234:S234)</f>
        <v>#DIV/0!</v>
      </c>
      <c r="H234" s="614"/>
      <c r="I234" s="615"/>
      <c r="J234" s="615"/>
      <c r="K234" s="615"/>
      <c r="L234" s="615"/>
      <c r="M234" s="615"/>
      <c r="N234" s="615"/>
      <c r="O234" s="615"/>
      <c r="P234" s="615"/>
      <c r="Q234" s="615"/>
      <c r="R234" s="615"/>
      <c r="S234" s="616"/>
    </row>
    <row r="235" spans="2:19" ht="15" hidden="1" customHeight="1" x14ac:dyDescent="0.25">
      <c r="B235" s="522" t="s">
        <v>180</v>
      </c>
      <c r="C235" s="750"/>
      <c r="E235" s="607"/>
      <c r="F235" s="612" t="s">
        <v>236</v>
      </c>
      <c r="G235" s="613" t="e">
        <f>((ROUND(G233/G234,0)&amp;" : "&amp;"1"))</f>
        <v>#DIV/0!</v>
      </c>
      <c r="H235" s="614" t="e">
        <f>((ROUND(H233/H234,0)&amp;" : "&amp;"1"))</f>
        <v>#DIV/0!</v>
      </c>
      <c r="I235" s="614" t="e">
        <f t="shared" ref="I235:S235" si="26">((ROUND(I233/I234,0)&amp;" : "&amp;"1"))</f>
        <v>#DIV/0!</v>
      </c>
      <c r="J235" s="614" t="e">
        <f t="shared" si="26"/>
        <v>#DIV/0!</v>
      </c>
      <c r="K235" s="614" t="e">
        <f t="shared" si="26"/>
        <v>#DIV/0!</v>
      </c>
      <c r="L235" s="614" t="e">
        <f t="shared" si="26"/>
        <v>#DIV/0!</v>
      </c>
      <c r="M235" s="614" t="e">
        <f t="shared" si="26"/>
        <v>#DIV/0!</v>
      </c>
      <c r="N235" s="614" t="e">
        <f t="shared" si="26"/>
        <v>#DIV/0!</v>
      </c>
      <c r="O235" s="614" t="e">
        <f t="shared" si="26"/>
        <v>#DIV/0!</v>
      </c>
      <c r="P235" s="614" t="e">
        <f t="shared" si="26"/>
        <v>#DIV/0!</v>
      </c>
      <c r="Q235" s="614" t="e">
        <f t="shared" si="26"/>
        <v>#DIV/0!</v>
      </c>
      <c r="R235" s="614" t="e">
        <f t="shared" si="26"/>
        <v>#DIV/0!</v>
      </c>
      <c r="S235" s="631" t="e">
        <f t="shared" si="26"/>
        <v>#DIV/0!</v>
      </c>
    </row>
    <row r="236" spans="2:19" ht="15" hidden="1" customHeight="1" x14ac:dyDescent="0.25">
      <c r="B236" s="759" t="s">
        <v>179</v>
      </c>
      <c r="C236" s="914"/>
      <c r="D236" s="880"/>
      <c r="E236" s="637"/>
      <c r="F236" s="638" t="s">
        <v>211</v>
      </c>
      <c r="G236" s="639" t="s">
        <v>211</v>
      </c>
      <c r="H236" s="640" t="s">
        <v>189</v>
      </c>
      <c r="I236" s="640" t="s">
        <v>189</v>
      </c>
      <c r="J236" s="640" t="s">
        <v>189</v>
      </c>
      <c r="K236" s="640" t="s">
        <v>189</v>
      </c>
      <c r="L236" s="640" t="s">
        <v>189</v>
      </c>
      <c r="M236" s="640" t="s">
        <v>189</v>
      </c>
      <c r="N236" s="640" t="s">
        <v>189</v>
      </c>
      <c r="O236" s="640" t="s">
        <v>189</v>
      </c>
      <c r="P236" s="651" t="s">
        <v>211</v>
      </c>
      <c r="Q236" s="651" t="s">
        <v>211</v>
      </c>
      <c r="R236" s="651" t="s">
        <v>211</v>
      </c>
      <c r="S236" s="652" t="s">
        <v>211</v>
      </c>
    </row>
    <row r="237" spans="2:19" hidden="1" x14ac:dyDescent="0.25"/>
    <row r="238" spans="2:19" hidden="1" x14ac:dyDescent="0.25"/>
  </sheetData>
  <mergeCells count="35">
    <mergeCell ref="B24:S24"/>
    <mergeCell ref="E1:F1"/>
    <mergeCell ref="B3:S3"/>
    <mergeCell ref="B4:S4"/>
    <mergeCell ref="B5:S5"/>
    <mergeCell ref="B13:S13"/>
    <mergeCell ref="B104:S104"/>
    <mergeCell ref="B44:S44"/>
    <mergeCell ref="E48:F49"/>
    <mergeCell ref="G48:G49"/>
    <mergeCell ref="B52:S52"/>
    <mergeCell ref="B57:S57"/>
    <mergeCell ref="B64:S64"/>
    <mergeCell ref="B77:S77"/>
    <mergeCell ref="B78:S78"/>
    <mergeCell ref="B84:S84"/>
    <mergeCell ref="B88:S88"/>
    <mergeCell ref="B98:S98"/>
    <mergeCell ref="B164:S164"/>
    <mergeCell ref="B107:S107"/>
    <mergeCell ref="B117:S117"/>
    <mergeCell ref="B118:S118"/>
    <mergeCell ref="B124:S124"/>
    <mergeCell ref="B129:S129"/>
    <mergeCell ref="B136:S136"/>
    <mergeCell ref="B137:S137"/>
    <mergeCell ref="B142:S142"/>
    <mergeCell ref="B148:S148"/>
    <mergeCell ref="B149:S149"/>
    <mergeCell ref="B157:S157"/>
    <mergeCell ref="B172:S172"/>
    <mergeCell ref="B174:S174"/>
    <mergeCell ref="K222:L222"/>
    <mergeCell ref="K227:L227"/>
    <mergeCell ref="K232:L232"/>
  </mergeCells>
  <pageMargins left="0.25" right="0.25" top="0.75" bottom="0.75" header="0.3" footer="0.3"/>
  <pageSetup scale="44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DB74-6646-4C0A-994A-7BCE437F3DB8}">
  <sheetPr>
    <pageSetUpPr fitToPage="1"/>
  </sheetPr>
  <dimension ref="A1:U244"/>
  <sheetViews>
    <sheetView topLeftCell="B1" zoomScale="112" zoomScaleNormal="112" workbookViewId="0">
      <pane xSplit="6" ySplit="5" topLeftCell="N6" activePane="bottomRight" state="frozen"/>
      <selection activeCell="B1" sqref="B1"/>
      <selection pane="topRight" activeCell="G1" sqref="G1"/>
      <selection pane="bottomLeft" activeCell="B6" sqref="B6"/>
      <selection pane="bottomRight" activeCell="H25" sqref="H25:S25"/>
    </sheetView>
  </sheetViews>
  <sheetFormatPr defaultColWidth="8.85546875" defaultRowHeight="12.75" x14ac:dyDescent="0.25"/>
  <cols>
    <col min="1" max="1" width="9.140625" style="518" hidden="1" customWidth="1"/>
    <col min="2" max="2" width="77.5703125" style="518" customWidth="1"/>
    <col min="3" max="3" width="0.140625" style="518" customWidth="1"/>
    <col min="4" max="4" width="0.140625" style="875" customWidth="1"/>
    <col min="5" max="6" width="12.7109375" style="696" customWidth="1"/>
    <col min="7" max="7" width="12.85546875" style="653" customWidth="1"/>
    <col min="8" max="8" width="16.28515625" style="696" bestFit="1" customWidth="1"/>
    <col min="9" max="9" width="12.7109375" style="696" customWidth="1"/>
    <col min="10" max="10" width="17.85546875" style="696" customWidth="1"/>
    <col min="11" max="11" width="15.140625" style="696" customWidth="1"/>
    <col min="12" max="12" width="14.140625" style="696" customWidth="1"/>
    <col min="13" max="18" width="12.7109375" style="696" customWidth="1"/>
    <col min="19" max="19" width="12.140625" style="696" customWidth="1"/>
    <col min="20" max="20" width="11" style="518" bestFit="1" customWidth="1"/>
    <col min="21" max="16384" width="8.85546875" style="518"/>
  </cols>
  <sheetData>
    <row r="1" spans="1:21" s="768" customFormat="1" ht="15.95" customHeight="1" x14ac:dyDescent="0.25">
      <c r="A1" s="764"/>
      <c r="B1" s="765"/>
      <c r="C1" s="765" t="s">
        <v>389</v>
      </c>
      <c r="D1" s="864"/>
      <c r="E1" s="1083" t="s">
        <v>262</v>
      </c>
      <c r="F1" s="1084"/>
      <c r="G1" s="504" t="s">
        <v>123</v>
      </c>
      <c r="H1" s="766"/>
      <c r="I1" s="766"/>
      <c r="J1" s="766"/>
      <c r="K1" s="766"/>
      <c r="L1" s="766"/>
      <c r="M1" s="766"/>
      <c r="N1" s="766"/>
      <c r="O1" s="766"/>
      <c r="P1" s="766"/>
      <c r="Q1" s="766"/>
      <c r="R1" s="766"/>
      <c r="S1" s="767"/>
    </row>
    <row r="2" spans="1:21" s="768" customFormat="1" ht="28.5" customHeight="1" x14ac:dyDescent="0.25">
      <c r="A2" s="769"/>
      <c r="B2" s="770"/>
      <c r="C2" s="770"/>
      <c r="D2" s="886"/>
      <c r="E2" s="771" t="s">
        <v>255</v>
      </c>
      <c r="F2" s="772" t="s">
        <v>261</v>
      </c>
      <c r="G2" s="773" t="s">
        <v>396</v>
      </c>
      <c r="H2" s="774" t="s">
        <v>6</v>
      </c>
      <c r="I2" s="771" t="s">
        <v>7</v>
      </c>
      <c r="J2" s="771" t="s">
        <v>8</v>
      </c>
      <c r="K2" s="771" t="s">
        <v>9</v>
      </c>
      <c r="L2" s="771" t="s">
        <v>10</v>
      </c>
      <c r="M2" s="771" t="s">
        <v>11</v>
      </c>
      <c r="N2" s="771" t="s">
        <v>12</v>
      </c>
      <c r="O2" s="771" t="s">
        <v>13</v>
      </c>
      <c r="P2" s="771" t="s">
        <v>14</v>
      </c>
      <c r="Q2" s="771" t="s">
        <v>15</v>
      </c>
      <c r="R2" s="771" t="s">
        <v>16</v>
      </c>
      <c r="S2" s="771" t="s">
        <v>17</v>
      </c>
    </row>
    <row r="3" spans="1:21" s="655" customFormat="1" ht="15.95" customHeight="1" x14ac:dyDescent="0.25">
      <c r="A3" s="654"/>
      <c r="B3" s="1054" t="s">
        <v>264</v>
      </c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6"/>
    </row>
    <row r="4" spans="1:21" s="655" customFormat="1" ht="15.95" customHeight="1" x14ac:dyDescent="0.25">
      <c r="A4" s="654"/>
      <c r="B4" s="1085"/>
      <c r="C4" s="1086"/>
      <c r="D4" s="1086"/>
      <c r="E4" s="1086"/>
      <c r="F4" s="1086"/>
      <c r="G4" s="1086"/>
      <c r="H4" s="1086"/>
      <c r="I4" s="1086"/>
      <c r="J4" s="1086"/>
      <c r="K4" s="1086"/>
      <c r="L4" s="1086"/>
      <c r="M4" s="1086"/>
      <c r="N4" s="1086"/>
      <c r="O4" s="1086"/>
      <c r="P4" s="1086"/>
      <c r="Q4" s="1086"/>
      <c r="R4" s="1086"/>
      <c r="S4" s="1087"/>
    </row>
    <row r="5" spans="1:21" s="655" customFormat="1" ht="15.95" customHeight="1" x14ac:dyDescent="0.25">
      <c r="A5" s="654"/>
      <c r="B5" s="1088" t="s">
        <v>18</v>
      </c>
      <c r="C5" s="1089"/>
      <c r="D5" s="1089"/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089"/>
      <c r="R5" s="1089"/>
      <c r="S5" s="1090"/>
    </row>
    <row r="6" spans="1:21" ht="15" customHeight="1" x14ac:dyDescent="0.25">
      <c r="A6" s="516"/>
      <c r="B6" s="509" t="s">
        <v>282</v>
      </c>
      <c r="C6" s="902" t="s">
        <v>391</v>
      </c>
      <c r="D6" s="871"/>
      <c r="E6" s="656">
        <f>'FY 19'!F6</f>
        <v>3195</v>
      </c>
      <c r="F6" s="657">
        <f>'FY 19'!G6</f>
        <v>3137</v>
      </c>
      <c r="G6" s="510">
        <f t="shared" ref="G6:G12" si="0">SUM(H6:S6)</f>
        <v>2670</v>
      </c>
      <c r="H6" s="511">
        <v>253</v>
      </c>
      <c r="I6" s="512">
        <v>244</v>
      </c>
      <c r="J6" s="512">
        <v>294</v>
      </c>
      <c r="K6" s="512">
        <v>310</v>
      </c>
      <c r="L6" s="512">
        <v>240</v>
      </c>
      <c r="M6" s="512">
        <v>259</v>
      </c>
      <c r="N6" s="512">
        <v>266</v>
      </c>
      <c r="O6" s="512"/>
      <c r="P6" s="512">
        <v>206</v>
      </c>
      <c r="Q6" s="512">
        <v>186</v>
      </c>
      <c r="R6" s="512">
        <v>198</v>
      </c>
      <c r="S6" s="513">
        <v>214</v>
      </c>
    </row>
    <row r="7" spans="1:21" ht="15" customHeight="1" x14ac:dyDescent="0.25">
      <c r="A7" s="516"/>
      <c r="B7" s="514" t="s">
        <v>263</v>
      </c>
      <c r="C7" s="902" t="s">
        <v>391</v>
      </c>
      <c r="D7" s="872"/>
      <c r="E7" s="656">
        <f>'FY 19'!F7</f>
        <v>1520</v>
      </c>
      <c r="F7" s="657">
        <f>'FY 19'!G7</f>
        <v>1586</v>
      </c>
      <c r="G7" s="510">
        <f t="shared" si="0"/>
        <v>1430</v>
      </c>
      <c r="H7" s="511">
        <v>133</v>
      </c>
      <c r="I7" s="512">
        <v>122</v>
      </c>
      <c r="J7" s="512">
        <v>169</v>
      </c>
      <c r="K7" s="512">
        <v>163</v>
      </c>
      <c r="L7" s="512">
        <v>128</v>
      </c>
      <c r="M7" s="512">
        <v>152</v>
      </c>
      <c r="N7" s="512">
        <v>141</v>
      </c>
      <c r="O7" s="512"/>
      <c r="P7" s="512">
        <v>128</v>
      </c>
      <c r="Q7" s="512">
        <v>99</v>
      </c>
      <c r="R7" s="512">
        <v>94</v>
      </c>
      <c r="S7" s="513">
        <v>101</v>
      </c>
    </row>
    <row r="8" spans="1:21" ht="15" customHeight="1" x14ac:dyDescent="0.25">
      <c r="A8" s="516"/>
      <c r="B8" s="522" t="s">
        <v>283</v>
      </c>
      <c r="C8" s="902" t="s">
        <v>391</v>
      </c>
      <c r="D8" s="873"/>
      <c r="E8" s="656">
        <f>'FY 19'!F8</f>
        <v>4658</v>
      </c>
      <c r="F8" s="657">
        <f>'FY 19'!G8</f>
        <v>5076</v>
      </c>
      <c r="G8" s="510">
        <f t="shared" si="0"/>
        <v>3546</v>
      </c>
      <c r="H8" s="511">
        <v>468</v>
      </c>
      <c r="I8" s="512">
        <v>486</v>
      </c>
      <c r="J8" s="696">
        <v>487</v>
      </c>
      <c r="K8" s="512">
        <v>535</v>
      </c>
      <c r="L8" s="512">
        <v>386</v>
      </c>
      <c r="M8" s="512">
        <v>401</v>
      </c>
      <c r="N8" s="512">
        <v>456</v>
      </c>
      <c r="O8" s="512"/>
      <c r="P8" s="512"/>
      <c r="Q8" s="512"/>
      <c r="R8" s="512"/>
      <c r="S8" s="513">
        <v>327</v>
      </c>
    </row>
    <row r="9" spans="1:21" ht="15" customHeight="1" x14ac:dyDescent="0.25">
      <c r="A9" s="516"/>
      <c r="B9" s="509" t="s">
        <v>284</v>
      </c>
      <c r="C9" s="902" t="s">
        <v>391</v>
      </c>
      <c r="D9" s="871"/>
      <c r="E9" s="656">
        <f>'FY 19'!F9</f>
        <v>295</v>
      </c>
      <c r="F9" s="657">
        <f>'FY 19'!G9</f>
        <v>306</v>
      </c>
      <c r="G9" s="510">
        <f t="shared" si="0"/>
        <v>246</v>
      </c>
      <c r="H9" s="511">
        <v>13</v>
      </c>
      <c r="I9" s="512">
        <v>31</v>
      </c>
      <c r="J9" s="696">
        <v>18</v>
      </c>
      <c r="K9" s="512">
        <v>38</v>
      </c>
      <c r="L9" s="512">
        <v>21</v>
      </c>
      <c r="M9" s="512">
        <v>18</v>
      </c>
      <c r="N9" s="512">
        <v>21</v>
      </c>
      <c r="O9" s="512">
        <v>17</v>
      </c>
      <c r="P9" s="512">
        <v>22</v>
      </c>
      <c r="Q9" s="512">
        <v>14</v>
      </c>
      <c r="R9" s="512">
        <v>14</v>
      </c>
      <c r="S9" s="513">
        <v>19</v>
      </c>
    </row>
    <row r="10" spans="1:21" ht="15" customHeight="1" x14ac:dyDescent="0.25">
      <c r="A10" s="516"/>
      <c r="B10" s="760" t="s">
        <v>275</v>
      </c>
      <c r="C10" s="902" t="s">
        <v>391</v>
      </c>
      <c r="D10" s="874"/>
      <c r="E10" s="656">
        <f>'FY 19'!F10</f>
        <v>0</v>
      </c>
      <c r="F10" s="657">
        <f>'FY 19'!G10</f>
        <v>0</v>
      </c>
      <c r="G10" s="510">
        <f t="shared" si="0"/>
        <v>0</v>
      </c>
      <c r="H10" s="511" t="s">
        <v>397</v>
      </c>
      <c r="I10" s="511" t="s">
        <v>397</v>
      </c>
      <c r="J10" s="511" t="s">
        <v>397</v>
      </c>
      <c r="K10" s="512" t="s">
        <v>397</v>
      </c>
      <c r="L10" s="512" t="s">
        <v>397</v>
      </c>
      <c r="M10" s="512" t="s">
        <v>397</v>
      </c>
      <c r="N10" s="512" t="s">
        <v>397</v>
      </c>
      <c r="O10" s="512" t="s">
        <v>397</v>
      </c>
      <c r="P10" s="512" t="s">
        <v>397</v>
      </c>
      <c r="Q10" s="512" t="s">
        <v>397</v>
      </c>
      <c r="R10" s="512" t="s">
        <v>397</v>
      </c>
      <c r="S10" s="512" t="s">
        <v>397</v>
      </c>
    </row>
    <row r="11" spans="1:21" ht="15" customHeight="1" x14ac:dyDescent="0.25">
      <c r="A11" s="516"/>
      <c r="B11" s="522" t="s">
        <v>285</v>
      </c>
      <c r="C11" s="902" t="s">
        <v>391</v>
      </c>
      <c r="D11" s="873"/>
      <c r="E11" s="656">
        <f>'FY 19'!F11</f>
        <v>1223</v>
      </c>
      <c r="F11" s="657">
        <f>'FY 19'!G11</f>
        <v>1279</v>
      </c>
      <c r="G11" s="510">
        <f t="shared" si="0"/>
        <v>1290</v>
      </c>
      <c r="H11" s="511">
        <v>120</v>
      </c>
      <c r="I11" s="512">
        <v>92</v>
      </c>
      <c r="J11" s="512">
        <v>151</v>
      </c>
      <c r="K11" s="512">
        <v>125</v>
      </c>
      <c r="L11" s="512">
        <v>107</v>
      </c>
      <c r="M11" s="512">
        <v>134</v>
      </c>
      <c r="N11" s="512">
        <v>120</v>
      </c>
      <c r="O11" s="512">
        <v>114</v>
      </c>
      <c r="P11" s="512">
        <v>83</v>
      </c>
      <c r="Q11" s="512">
        <v>82</v>
      </c>
      <c r="R11" s="512">
        <v>80</v>
      </c>
      <c r="S11" s="513">
        <v>82</v>
      </c>
    </row>
    <row r="12" spans="1:21" ht="11.25" customHeight="1" x14ac:dyDescent="0.25">
      <c r="A12" s="516"/>
      <c r="B12" s="761" t="s">
        <v>276</v>
      </c>
      <c r="C12" s="902" t="s">
        <v>391</v>
      </c>
      <c r="D12" s="872"/>
      <c r="E12" s="656">
        <f>'FY 19'!F12</f>
        <v>0</v>
      </c>
      <c r="F12" s="657">
        <f>'FY 19'!G12</f>
        <v>0</v>
      </c>
      <c r="G12" s="683">
        <f t="shared" si="0"/>
        <v>0</v>
      </c>
      <c r="H12" s="665" t="s">
        <v>397</v>
      </c>
      <c r="I12" s="665" t="s">
        <v>397</v>
      </c>
      <c r="J12" s="665" t="s">
        <v>397</v>
      </c>
      <c r="K12" s="670" t="s">
        <v>397</v>
      </c>
      <c r="L12" s="670" t="s">
        <v>397</v>
      </c>
      <c r="M12" s="670" t="s">
        <v>397</v>
      </c>
      <c r="N12" s="670" t="s">
        <v>397</v>
      </c>
      <c r="O12" s="670" t="s">
        <v>397</v>
      </c>
      <c r="P12" s="670" t="s">
        <v>397</v>
      </c>
      <c r="Q12" s="670" t="s">
        <v>397</v>
      </c>
      <c r="R12" s="670" t="s">
        <v>397</v>
      </c>
      <c r="S12" s="670" t="s">
        <v>397</v>
      </c>
      <c r="U12" s="933"/>
    </row>
    <row r="13" spans="1:21" ht="15" hidden="1" customHeight="1" x14ac:dyDescent="0.25">
      <c r="A13" s="516"/>
      <c r="B13" s="1079" t="s">
        <v>19</v>
      </c>
      <c r="C13" s="1080"/>
      <c r="D13" s="1080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2"/>
      <c r="U13" s="933"/>
    </row>
    <row r="14" spans="1:21" ht="12.75" hidden="1" customHeight="1" x14ac:dyDescent="0.25">
      <c r="A14" s="516"/>
      <c r="B14" s="777" t="s">
        <v>375</v>
      </c>
      <c r="C14" s="750"/>
      <c r="E14" s="778"/>
      <c r="F14" s="779"/>
      <c r="G14" s="785"/>
      <c r="H14" s="780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3"/>
      <c r="U14" s="933"/>
    </row>
    <row r="15" spans="1:21" ht="12.75" hidden="1" customHeight="1" x14ac:dyDescent="0.25">
      <c r="A15" s="516"/>
      <c r="B15" s="784" t="s">
        <v>22</v>
      </c>
      <c r="C15" s="907"/>
      <c r="E15" s="778"/>
      <c r="F15" s="779"/>
      <c r="G15" s="786"/>
      <c r="H15" s="511"/>
      <c r="I15" s="512">
        <v>117</v>
      </c>
      <c r="J15" s="512"/>
      <c r="K15" s="512"/>
      <c r="L15" s="512"/>
      <c r="M15" s="512"/>
      <c r="N15" s="512"/>
      <c r="O15" s="512"/>
      <c r="P15" s="512"/>
      <c r="Q15" s="512"/>
      <c r="R15" s="512"/>
      <c r="S15" s="513"/>
      <c r="U15" s="933"/>
    </row>
    <row r="16" spans="1:21" hidden="1" x14ac:dyDescent="0.25">
      <c r="A16" s="516"/>
      <c r="B16" s="784" t="s">
        <v>23</v>
      </c>
      <c r="C16" s="907"/>
      <c r="E16" s="778"/>
      <c r="F16" s="779"/>
      <c r="G16" s="781"/>
      <c r="H16" s="511"/>
      <c r="I16" s="512">
        <v>93</v>
      </c>
      <c r="J16" s="512"/>
      <c r="K16" s="512"/>
      <c r="L16" s="512"/>
      <c r="M16" s="512"/>
      <c r="N16" s="512"/>
      <c r="O16" s="512"/>
      <c r="P16" s="512"/>
      <c r="Q16" s="512"/>
      <c r="R16" s="512"/>
      <c r="S16" s="513"/>
    </row>
    <row r="17" spans="1:19" hidden="1" x14ac:dyDescent="0.25">
      <c r="A17" s="516"/>
      <c r="B17" s="784" t="s">
        <v>199</v>
      </c>
      <c r="C17" s="907"/>
      <c r="E17" s="778"/>
      <c r="F17" s="779"/>
      <c r="G17" s="787"/>
      <c r="H17" s="511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3"/>
    </row>
    <row r="18" spans="1:19" hidden="1" x14ac:dyDescent="0.25">
      <c r="A18" s="516"/>
      <c r="B18" s="782" t="s">
        <v>376</v>
      </c>
      <c r="C18" s="750"/>
      <c r="E18" s="778"/>
      <c r="F18" s="779"/>
      <c r="G18" s="510"/>
      <c r="H18" s="519"/>
      <c r="I18" s="520"/>
      <c r="J18" s="520"/>
      <c r="K18" s="520"/>
      <c r="L18" s="520"/>
      <c r="M18" s="520"/>
      <c r="N18" s="520"/>
      <c r="O18" s="520"/>
      <c r="P18" s="520"/>
      <c r="Q18" s="520"/>
      <c r="R18" s="520"/>
      <c r="S18" s="521"/>
    </row>
    <row r="19" spans="1:19" hidden="1" x14ac:dyDescent="0.25">
      <c r="A19" s="516"/>
      <c r="B19" s="782" t="s">
        <v>377</v>
      </c>
      <c r="C19" s="750"/>
      <c r="E19" s="778"/>
      <c r="F19" s="779"/>
      <c r="G19" s="523"/>
      <c r="H19" s="519"/>
      <c r="I19" s="520"/>
      <c r="J19" s="520"/>
      <c r="K19" s="520"/>
      <c r="L19" s="520"/>
      <c r="M19" s="520"/>
      <c r="N19" s="520"/>
      <c r="O19" s="520"/>
      <c r="P19" s="520"/>
      <c r="Q19" s="520"/>
      <c r="R19" s="520"/>
      <c r="S19" s="521"/>
    </row>
    <row r="20" spans="1:19" hidden="1" x14ac:dyDescent="0.25">
      <c r="A20" s="516"/>
      <c r="B20" s="782" t="s">
        <v>378</v>
      </c>
      <c r="C20" s="750"/>
      <c r="E20" s="778"/>
      <c r="F20" s="779"/>
      <c r="G20" s="523"/>
      <c r="H20" s="519"/>
      <c r="I20" s="520"/>
      <c r="J20" s="520"/>
      <c r="K20" s="520"/>
      <c r="L20" s="520"/>
      <c r="M20" s="520"/>
      <c r="N20" s="520"/>
      <c r="O20" s="520"/>
      <c r="P20" s="520"/>
      <c r="Q20" s="520"/>
      <c r="R20" s="520"/>
      <c r="S20" s="521"/>
    </row>
    <row r="21" spans="1:19" ht="37.5" hidden="1" customHeight="1" x14ac:dyDescent="0.25">
      <c r="A21" s="516"/>
      <c r="B21" s="782" t="s">
        <v>379</v>
      </c>
      <c r="C21" s="750"/>
      <c r="E21" s="778"/>
      <c r="F21" s="779"/>
      <c r="G21" s="523"/>
      <c r="H21" s="519"/>
      <c r="I21" s="520"/>
      <c r="J21" s="520"/>
      <c r="K21" s="520"/>
      <c r="L21" s="520"/>
      <c r="M21" s="520"/>
      <c r="N21" s="520"/>
      <c r="O21" s="520"/>
      <c r="P21" s="520"/>
      <c r="Q21" s="520"/>
      <c r="R21" s="520"/>
      <c r="S21" s="521"/>
    </row>
    <row r="22" spans="1:19" ht="40.5" hidden="1" customHeight="1" x14ac:dyDescent="0.25">
      <c r="A22" s="516"/>
      <c r="B22" s="782" t="s">
        <v>380</v>
      </c>
      <c r="C22" s="750"/>
      <c r="E22" s="778"/>
      <c r="F22" s="779"/>
      <c r="G22" s="523"/>
      <c r="H22" s="519"/>
      <c r="I22" s="520"/>
      <c r="J22" s="520"/>
      <c r="K22" s="520"/>
      <c r="L22" s="520"/>
      <c r="M22" s="520"/>
      <c r="N22" s="520"/>
      <c r="O22" s="520"/>
      <c r="P22" s="520"/>
      <c r="Q22" s="520"/>
      <c r="R22" s="520"/>
      <c r="S22" s="521"/>
    </row>
    <row r="23" spans="1:19" ht="36.75" hidden="1" customHeight="1" x14ac:dyDescent="0.25">
      <c r="A23" s="516"/>
      <c r="B23" s="783" t="s">
        <v>381</v>
      </c>
      <c r="C23" s="908"/>
      <c r="D23" s="876"/>
      <c r="E23" s="778"/>
      <c r="F23" s="779"/>
      <c r="G23" s="515"/>
      <c r="H23" s="524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6"/>
    </row>
    <row r="24" spans="1:19" s="655" customFormat="1" ht="15.95" customHeight="1" x14ac:dyDescent="0.25">
      <c r="A24" s="654"/>
      <c r="B24" s="1079" t="s">
        <v>293</v>
      </c>
      <c r="C24" s="1080"/>
      <c r="D24" s="1080"/>
      <c r="E24" s="1080"/>
      <c r="F24" s="1080"/>
      <c r="G24" s="1080"/>
      <c r="H24" s="1080"/>
      <c r="I24" s="1080"/>
      <c r="J24" s="1080"/>
      <c r="K24" s="1080"/>
      <c r="L24" s="1080"/>
      <c r="M24" s="1080"/>
      <c r="N24" s="1080"/>
      <c r="O24" s="1080"/>
      <c r="P24" s="1080"/>
      <c r="Q24" s="1080"/>
      <c r="R24" s="1080"/>
      <c r="S24" s="1081"/>
    </row>
    <row r="25" spans="1:19" ht="15" customHeight="1" x14ac:dyDescent="0.25">
      <c r="A25" s="516"/>
      <c r="B25" s="509" t="s">
        <v>277</v>
      </c>
      <c r="C25" s="750" t="s">
        <v>392</v>
      </c>
      <c r="E25" s="717">
        <v>0</v>
      </c>
      <c r="F25" s="718">
        <v>3435</v>
      </c>
      <c r="G25" s="722">
        <f t="shared" ref="G25:G36" si="1">SUM(H25:S25)</f>
        <v>3808</v>
      </c>
      <c r="H25" s="511">
        <v>321</v>
      </c>
      <c r="I25" s="512">
        <v>322</v>
      </c>
      <c r="J25" s="512">
        <v>325</v>
      </c>
      <c r="K25" s="512">
        <v>316</v>
      </c>
      <c r="L25" s="512">
        <v>313</v>
      </c>
      <c r="M25" s="512">
        <v>312</v>
      </c>
      <c r="N25" s="512">
        <v>308</v>
      </c>
      <c r="O25" s="512">
        <v>318</v>
      </c>
      <c r="P25" s="512">
        <v>318</v>
      </c>
      <c r="Q25" s="512">
        <v>323</v>
      </c>
      <c r="R25" s="512">
        <v>317</v>
      </c>
      <c r="S25" s="527">
        <v>315</v>
      </c>
    </row>
    <row r="26" spans="1:19" ht="15" customHeight="1" x14ac:dyDescent="0.25">
      <c r="A26" s="516"/>
      <c r="B26" s="762" t="s">
        <v>22</v>
      </c>
      <c r="C26" s="750" t="s">
        <v>392</v>
      </c>
      <c r="E26" s="719">
        <v>0</v>
      </c>
      <c r="F26" s="720">
        <v>1807</v>
      </c>
      <c r="G26" s="723">
        <f t="shared" si="1"/>
        <v>1817</v>
      </c>
      <c r="H26" s="511">
        <v>167</v>
      </c>
      <c r="I26" s="512">
        <v>165</v>
      </c>
      <c r="J26" s="512">
        <v>167</v>
      </c>
      <c r="K26" s="512">
        <v>162</v>
      </c>
      <c r="L26" s="512">
        <v>163</v>
      </c>
      <c r="M26" s="512">
        <v>162</v>
      </c>
      <c r="N26" s="512">
        <v>163</v>
      </c>
      <c r="O26" s="512"/>
      <c r="P26" s="512">
        <v>168</v>
      </c>
      <c r="Q26" s="512">
        <v>169</v>
      </c>
      <c r="R26" s="512">
        <v>167</v>
      </c>
      <c r="S26" s="527">
        <v>164</v>
      </c>
    </row>
    <row r="27" spans="1:19" ht="15" customHeight="1" x14ac:dyDescent="0.25">
      <c r="A27" s="516"/>
      <c r="B27" s="762" t="s">
        <v>23</v>
      </c>
      <c r="C27" s="750" t="s">
        <v>392</v>
      </c>
      <c r="E27" s="719">
        <v>0</v>
      </c>
      <c r="F27" s="720">
        <v>1664</v>
      </c>
      <c r="G27" s="723">
        <f t="shared" si="1"/>
        <v>1673</v>
      </c>
      <c r="H27" s="511">
        <v>154</v>
      </c>
      <c r="I27" s="512">
        <v>157</v>
      </c>
      <c r="J27" s="512">
        <v>158</v>
      </c>
      <c r="K27" s="512">
        <v>154</v>
      </c>
      <c r="L27" s="512">
        <v>150</v>
      </c>
      <c r="M27" s="512">
        <v>150</v>
      </c>
      <c r="N27" s="512">
        <v>145</v>
      </c>
      <c r="O27" s="512"/>
      <c r="P27" s="512">
        <v>150</v>
      </c>
      <c r="Q27" s="512">
        <v>154</v>
      </c>
      <c r="R27" s="512">
        <v>150</v>
      </c>
      <c r="S27" s="527">
        <v>151</v>
      </c>
    </row>
    <row r="28" spans="1:19" ht="15" customHeight="1" x14ac:dyDescent="0.25">
      <c r="A28" s="516"/>
      <c r="B28" s="762" t="s">
        <v>398</v>
      </c>
      <c r="C28" s="750"/>
      <c r="E28" s="719"/>
      <c r="F28" s="720"/>
      <c r="G28" s="723"/>
      <c r="H28" s="511">
        <v>243</v>
      </c>
      <c r="I28" s="512">
        <v>244</v>
      </c>
      <c r="J28" s="512">
        <v>246</v>
      </c>
      <c r="K28" s="512">
        <v>237</v>
      </c>
      <c r="L28" s="512">
        <v>237</v>
      </c>
      <c r="M28" s="512">
        <v>237</v>
      </c>
      <c r="N28" s="512">
        <v>237</v>
      </c>
      <c r="O28" s="512"/>
      <c r="P28" s="512">
        <v>244</v>
      </c>
      <c r="Q28" s="512">
        <v>247</v>
      </c>
      <c r="R28" s="512">
        <v>242</v>
      </c>
      <c r="S28" s="527">
        <v>247</v>
      </c>
    </row>
    <row r="29" spans="1:19" ht="15" customHeight="1" x14ac:dyDescent="0.25">
      <c r="A29" s="516"/>
      <c r="B29" s="762" t="s">
        <v>399</v>
      </c>
      <c r="C29" s="750"/>
      <c r="E29" s="719"/>
      <c r="F29" s="720"/>
      <c r="G29" s="723"/>
      <c r="H29" s="511">
        <v>43</v>
      </c>
      <c r="I29" s="512">
        <v>43</v>
      </c>
      <c r="J29" s="512">
        <v>43</v>
      </c>
      <c r="K29" s="512">
        <v>43</v>
      </c>
      <c r="L29" s="512">
        <v>42</v>
      </c>
      <c r="M29" s="512">
        <v>42</v>
      </c>
      <c r="N29" s="512">
        <v>39</v>
      </c>
      <c r="O29" s="512"/>
      <c r="P29" s="512">
        <v>39</v>
      </c>
      <c r="Q29" s="512">
        <v>41</v>
      </c>
      <c r="R29" s="512">
        <v>40</v>
      </c>
      <c r="S29" s="527">
        <v>32</v>
      </c>
    </row>
    <row r="30" spans="1:19" ht="15" customHeight="1" x14ac:dyDescent="0.25">
      <c r="A30" s="516"/>
      <c r="B30" s="762" t="s">
        <v>401</v>
      </c>
      <c r="C30" s="750"/>
      <c r="E30" s="719"/>
      <c r="F30" s="720"/>
      <c r="G30" s="723"/>
      <c r="H30" s="511">
        <v>29</v>
      </c>
      <c r="I30" s="512">
        <v>29</v>
      </c>
      <c r="J30" s="512">
        <v>30</v>
      </c>
      <c r="K30" s="512">
        <v>30</v>
      </c>
      <c r="L30" s="512">
        <v>28</v>
      </c>
      <c r="M30" s="512">
        <v>28</v>
      </c>
      <c r="N30" s="512">
        <v>27</v>
      </c>
      <c r="O30" s="512"/>
      <c r="P30" s="512">
        <v>30</v>
      </c>
      <c r="Q30" s="512">
        <v>30</v>
      </c>
      <c r="R30" s="512">
        <v>30</v>
      </c>
      <c r="S30" s="527">
        <v>30</v>
      </c>
    </row>
    <row r="31" spans="1:19" ht="15" customHeight="1" x14ac:dyDescent="0.25">
      <c r="A31" s="516"/>
      <c r="B31" s="762" t="s">
        <v>400</v>
      </c>
      <c r="C31" s="750"/>
      <c r="E31" s="719"/>
      <c r="F31" s="720"/>
      <c r="G31" s="723"/>
      <c r="H31" s="511">
        <v>6</v>
      </c>
      <c r="I31" s="512">
        <v>6</v>
      </c>
      <c r="J31" s="512">
        <v>6</v>
      </c>
      <c r="K31" s="512">
        <v>6</v>
      </c>
      <c r="L31" s="512">
        <v>6</v>
      </c>
      <c r="M31" s="512">
        <v>5</v>
      </c>
      <c r="N31" s="512">
        <v>5</v>
      </c>
      <c r="O31" s="512"/>
      <c r="P31" s="512">
        <v>5</v>
      </c>
      <c r="Q31" s="512">
        <v>5</v>
      </c>
      <c r="R31" s="512">
        <v>5</v>
      </c>
      <c r="S31" s="527">
        <v>6</v>
      </c>
    </row>
    <row r="32" spans="1:19" ht="15" customHeight="1" x14ac:dyDescent="0.25">
      <c r="A32" s="516"/>
      <c r="B32" s="762" t="s">
        <v>278</v>
      </c>
      <c r="C32" s="750" t="s">
        <v>392</v>
      </c>
      <c r="E32" s="719">
        <v>0</v>
      </c>
      <c r="F32" s="720">
        <v>1429</v>
      </c>
      <c r="G32" s="723">
        <f t="shared" si="1"/>
        <v>982</v>
      </c>
      <c r="H32" s="511">
        <v>100</v>
      </c>
      <c r="I32" s="512">
        <v>96</v>
      </c>
      <c r="J32" s="512">
        <v>104</v>
      </c>
      <c r="K32" s="512">
        <v>92</v>
      </c>
      <c r="L32" s="512">
        <v>93</v>
      </c>
      <c r="M32" s="512">
        <v>88</v>
      </c>
      <c r="N32" s="512">
        <v>75</v>
      </c>
      <c r="O32" s="512"/>
      <c r="P32" s="512">
        <v>90</v>
      </c>
      <c r="Q32" s="512">
        <v>84</v>
      </c>
      <c r="R32" s="512">
        <v>76</v>
      </c>
      <c r="S32" s="527">
        <v>84</v>
      </c>
    </row>
    <row r="33" spans="1:19" ht="15" customHeight="1" x14ac:dyDescent="0.25">
      <c r="A33" s="516"/>
      <c r="B33" s="762" t="s">
        <v>279</v>
      </c>
      <c r="C33" s="750" t="s">
        <v>392</v>
      </c>
      <c r="E33" s="719">
        <v>0</v>
      </c>
      <c r="F33" s="720">
        <v>949</v>
      </c>
      <c r="G33" s="723">
        <f t="shared" si="1"/>
        <v>945</v>
      </c>
      <c r="H33" s="511">
        <v>86</v>
      </c>
      <c r="I33" s="512">
        <v>86</v>
      </c>
      <c r="J33" s="512">
        <v>85</v>
      </c>
      <c r="K33" s="512">
        <v>85</v>
      </c>
      <c r="L33" s="512">
        <v>83</v>
      </c>
      <c r="M33" s="512">
        <v>84</v>
      </c>
      <c r="N33" s="512">
        <v>90</v>
      </c>
      <c r="O33" s="512"/>
      <c r="P33" s="512">
        <v>89</v>
      </c>
      <c r="Q33" s="512">
        <v>85</v>
      </c>
      <c r="R33" s="512">
        <v>87</v>
      </c>
      <c r="S33" s="527">
        <v>85</v>
      </c>
    </row>
    <row r="34" spans="1:19" ht="15" customHeight="1" x14ac:dyDescent="0.25">
      <c r="A34" s="516"/>
      <c r="B34" s="762" t="s">
        <v>280</v>
      </c>
      <c r="C34" s="750" t="s">
        <v>392</v>
      </c>
      <c r="E34" s="719">
        <v>0</v>
      </c>
      <c r="F34" s="720">
        <v>1093</v>
      </c>
      <c r="G34" s="723">
        <f t="shared" si="1"/>
        <v>1563</v>
      </c>
      <c r="H34" s="511">
        <v>135</v>
      </c>
      <c r="I34" s="512">
        <v>140</v>
      </c>
      <c r="J34" s="512">
        <v>136</v>
      </c>
      <c r="K34" s="512">
        <v>139</v>
      </c>
      <c r="L34" s="512">
        <v>137</v>
      </c>
      <c r="M34" s="512">
        <v>140</v>
      </c>
      <c r="N34" s="512">
        <v>143</v>
      </c>
      <c r="O34" s="512"/>
      <c r="P34" s="512">
        <v>139</v>
      </c>
      <c r="Q34" s="512">
        <v>154</v>
      </c>
      <c r="R34" s="512">
        <v>154</v>
      </c>
      <c r="S34" s="527">
        <v>146</v>
      </c>
    </row>
    <row r="35" spans="1:19" ht="15" customHeight="1" x14ac:dyDescent="0.25">
      <c r="A35" s="516"/>
      <c r="B35" s="528" t="s">
        <v>286</v>
      </c>
      <c r="C35" s="750" t="s">
        <v>392</v>
      </c>
      <c r="D35" s="876"/>
      <c r="E35" s="719">
        <v>0</v>
      </c>
      <c r="F35" s="720">
        <v>22</v>
      </c>
      <c r="G35" s="723">
        <f t="shared" si="1"/>
        <v>0</v>
      </c>
      <c r="H35" s="511" t="s">
        <v>397</v>
      </c>
      <c r="I35" s="511" t="s">
        <v>397</v>
      </c>
      <c r="J35" s="511" t="s">
        <v>397</v>
      </c>
      <c r="K35" s="511" t="s">
        <v>397</v>
      </c>
      <c r="L35" s="511" t="s">
        <v>397</v>
      </c>
      <c r="M35" s="511" t="s">
        <v>397</v>
      </c>
      <c r="N35" s="511" t="s">
        <v>397</v>
      </c>
      <c r="O35" s="511" t="s">
        <v>397</v>
      </c>
      <c r="P35" s="511" t="s">
        <v>397</v>
      </c>
      <c r="Q35" s="511" t="s">
        <v>397</v>
      </c>
      <c r="R35" s="511" t="s">
        <v>397</v>
      </c>
      <c r="S35" s="511" t="s">
        <v>397</v>
      </c>
    </row>
    <row r="36" spans="1:19" ht="15" customHeight="1" x14ac:dyDescent="0.25">
      <c r="A36" s="516"/>
      <c r="B36" s="528" t="s">
        <v>287</v>
      </c>
      <c r="C36" s="750" t="s">
        <v>392</v>
      </c>
      <c r="D36" s="876"/>
      <c r="E36" s="719">
        <v>0</v>
      </c>
      <c r="F36" s="720">
        <v>211</v>
      </c>
      <c r="G36" s="723">
        <f t="shared" si="1"/>
        <v>413</v>
      </c>
      <c r="H36" s="511">
        <v>38</v>
      </c>
      <c r="I36" s="512">
        <v>37</v>
      </c>
      <c r="J36" s="512">
        <v>38</v>
      </c>
      <c r="K36" s="512">
        <v>41</v>
      </c>
      <c r="L36" s="512">
        <v>41</v>
      </c>
      <c r="M36" s="512">
        <v>42</v>
      </c>
      <c r="N36" s="512">
        <v>45</v>
      </c>
      <c r="O36" s="512"/>
      <c r="P36" s="512"/>
      <c r="Q36" s="512">
        <v>44</v>
      </c>
      <c r="R36" s="512">
        <v>43</v>
      </c>
      <c r="S36" s="527">
        <v>44</v>
      </c>
    </row>
    <row r="37" spans="1:19" ht="15" customHeight="1" x14ac:dyDescent="0.25">
      <c r="A37" s="516"/>
      <c r="B37" s="522" t="s">
        <v>288</v>
      </c>
      <c r="C37" s="750" t="s">
        <v>392</v>
      </c>
      <c r="E37" s="719">
        <v>0</v>
      </c>
      <c r="F37" s="720">
        <v>90</v>
      </c>
      <c r="G37" s="681">
        <f>SUM(H37:S37)</f>
        <v>86</v>
      </c>
      <c r="H37" s="511">
        <v>13</v>
      </c>
      <c r="I37" s="512">
        <v>7</v>
      </c>
      <c r="J37" s="512">
        <v>9</v>
      </c>
      <c r="K37" s="561">
        <v>3</v>
      </c>
      <c r="L37" s="512">
        <v>6</v>
      </c>
      <c r="M37" s="512">
        <v>7</v>
      </c>
      <c r="N37" s="512">
        <v>3</v>
      </c>
      <c r="O37" s="512"/>
      <c r="P37" s="512">
        <v>16</v>
      </c>
      <c r="Q37" s="512">
        <v>6</v>
      </c>
      <c r="R37" s="512">
        <v>2</v>
      </c>
      <c r="S37" s="527">
        <v>14</v>
      </c>
    </row>
    <row r="38" spans="1:19" ht="15" customHeight="1" x14ac:dyDescent="0.25">
      <c r="A38" s="516"/>
      <c r="B38" s="522" t="s">
        <v>289</v>
      </c>
      <c r="C38" s="750" t="s">
        <v>392</v>
      </c>
      <c r="E38" s="719">
        <v>0</v>
      </c>
      <c r="F38" s="720">
        <v>77</v>
      </c>
      <c r="G38" s="517">
        <f>SUM(H38:S38)</f>
        <v>76</v>
      </c>
      <c r="H38" s="511">
        <v>10</v>
      </c>
      <c r="I38" s="512">
        <v>6</v>
      </c>
      <c r="J38" s="512">
        <v>5</v>
      </c>
      <c r="K38" s="561">
        <v>9</v>
      </c>
      <c r="L38" s="512">
        <v>12</v>
      </c>
      <c r="M38" s="512">
        <v>7</v>
      </c>
      <c r="N38" s="512">
        <v>9</v>
      </c>
      <c r="O38" s="512"/>
      <c r="P38" s="512"/>
      <c r="Q38" s="512"/>
      <c r="R38" s="512">
        <v>4</v>
      </c>
      <c r="S38" s="527">
        <v>14</v>
      </c>
    </row>
    <row r="39" spans="1:19" ht="15" customHeight="1" x14ac:dyDescent="0.25">
      <c r="A39" s="516"/>
      <c r="B39" s="762" t="s">
        <v>113</v>
      </c>
      <c r="C39" s="750" t="s">
        <v>392</v>
      </c>
      <c r="E39" s="719">
        <v>0</v>
      </c>
      <c r="F39" s="720">
        <v>6</v>
      </c>
      <c r="G39" s="517">
        <f t="shared" ref="G39:G44" si="2">SUM(H39:S39)</f>
        <v>8</v>
      </c>
      <c r="H39" s="511">
        <v>4</v>
      </c>
      <c r="I39" s="531">
        <v>0</v>
      </c>
      <c r="J39" s="531">
        <v>0</v>
      </c>
      <c r="K39" s="859">
        <v>1</v>
      </c>
      <c r="L39" s="531">
        <v>0</v>
      </c>
      <c r="M39" s="531">
        <v>0</v>
      </c>
      <c r="N39" s="531">
        <v>3</v>
      </c>
      <c r="O39" s="531"/>
      <c r="P39" s="531"/>
      <c r="Q39" s="531"/>
      <c r="R39" s="512">
        <v>0</v>
      </c>
      <c r="S39" s="532">
        <v>0</v>
      </c>
    </row>
    <row r="40" spans="1:19" ht="15" customHeight="1" x14ac:dyDescent="0.25">
      <c r="A40" s="516"/>
      <c r="B40" s="762" t="s">
        <v>139</v>
      </c>
      <c r="C40" s="750" t="s">
        <v>392</v>
      </c>
      <c r="E40" s="719">
        <v>0</v>
      </c>
      <c r="F40" s="720">
        <v>8</v>
      </c>
      <c r="G40" s="529">
        <f t="shared" si="2"/>
        <v>2</v>
      </c>
      <c r="H40" s="511">
        <v>0</v>
      </c>
      <c r="I40" s="531">
        <v>1</v>
      </c>
      <c r="J40" s="531">
        <v>0</v>
      </c>
      <c r="K40" s="859">
        <v>0</v>
      </c>
      <c r="L40" s="531">
        <v>1</v>
      </c>
      <c r="M40" s="531">
        <v>0</v>
      </c>
      <c r="N40" s="531">
        <v>0</v>
      </c>
      <c r="O40" s="531"/>
      <c r="P40" s="531"/>
      <c r="Q40" s="531"/>
      <c r="R40" s="512">
        <v>0</v>
      </c>
      <c r="S40" s="532">
        <v>0</v>
      </c>
    </row>
    <row r="41" spans="1:19" ht="15" customHeight="1" x14ac:dyDescent="0.25">
      <c r="A41" s="516"/>
      <c r="B41" s="762" t="s">
        <v>114</v>
      </c>
      <c r="C41" s="750" t="s">
        <v>392</v>
      </c>
      <c r="E41" s="719">
        <v>0</v>
      </c>
      <c r="F41" s="720">
        <v>5</v>
      </c>
      <c r="G41" s="529">
        <f t="shared" si="2"/>
        <v>6</v>
      </c>
      <c r="H41" s="511">
        <v>0</v>
      </c>
      <c r="I41" s="531">
        <v>1</v>
      </c>
      <c r="J41" s="531">
        <v>0</v>
      </c>
      <c r="K41" s="859">
        <v>0</v>
      </c>
      <c r="L41" s="531">
        <v>3</v>
      </c>
      <c r="M41" s="531">
        <v>2</v>
      </c>
      <c r="N41" s="531">
        <v>0</v>
      </c>
      <c r="O41" s="531"/>
      <c r="P41" s="531"/>
      <c r="Q41" s="531"/>
      <c r="R41" s="512">
        <v>0</v>
      </c>
      <c r="S41" s="532">
        <v>0</v>
      </c>
    </row>
    <row r="42" spans="1:19" ht="15" customHeight="1" x14ac:dyDescent="0.25">
      <c r="A42" s="516"/>
      <c r="B42" s="762" t="s">
        <v>115</v>
      </c>
      <c r="C42" s="750" t="s">
        <v>392</v>
      </c>
      <c r="E42" s="719">
        <v>0</v>
      </c>
      <c r="F42" s="720">
        <v>32</v>
      </c>
      <c r="G42" s="529">
        <f t="shared" si="2"/>
        <v>36</v>
      </c>
      <c r="H42" s="511">
        <v>6</v>
      </c>
      <c r="I42" s="531">
        <v>3</v>
      </c>
      <c r="J42" s="531">
        <v>1</v>
      </c>
      <c r="K42" s="859">
        <v>4</v>
      </c>
      <c r="L42" s="531">
        <v>1</v>
      </c>
      <c r="M42" s="531">
        <v>2</v>
      </c>
      <c r="N42" s="531">
        <v>4</v>
      </c>
      <c r="O42" s="531"/>
      <c r="P42" s="531"/>
      <c r="Q42" s="531"/>
      <c r="R42" s="512">
        <v>4</v>
      </c>
      <c r="S42" s="532">
        <v>11</v>
      </c>
    </row>
    <row r="43" spans="1:19" ht="15" customHeight="1" x14ac:dyDescent="0.25">
      <c r="A43" s="516"/>
      <c r="B43" s="762" t="s">
        <v>290</v>
      </c>
      <c r="C43" s="750" t="s">
        <v>392</v>
      </c>
      <c r="E43" s="719">
        <v>0</v>
      </c>
      <c r="F43" s="720">
        <v>19</v>
      </c>
      <c r="G43" s="529">
        <f t="shared" si="2"/>
        <v>20</v>
      </c>
      <c r="H43" s="511">
        <v>0</v>
      </c>
      <c r="I43" s="531">
        <v>1</v>
      </c>
      <c r="J43" s="531">
        <v>3</v>
      </c>
      <c r="K43" s="859">
        <v>4</v>
      </c>
      <c r="L43" s="531">
        <v>4</v>
      </c>
      <c r="M43" s="531">
        <v>3</v>
      </c>
      <c r="N43" s="531">
        <v>2</v>
      </c>
      <c r="O43" s="531"/>
      <c r="P43" s="531"/>
      <c r="Q43" s="531"/>
      <c r="R43" s="512">
        <v>2</v>
      </c>
      <c r="S43" s="532">
        <v>1</v>
      </c>
    </row>
    <row r="44" spans="1:19" ht="15" customHeight="1" x14ac:dyDescent="0.25">
      <c r="A44" s="516"/>
      <c r="B44" s="761" t="s">
        <v>281</v>
      </c>
      <c r="C44" s="750" t="s">
        <v>392</v>
      </c>
      <c r="D44" s="877"/>
      <c r="E44" s="721">
        <v>0</v>
      </c>
      <c r="F44" s="720">
        <v>7</v>
      </c>
      <c r="G44" s="530">
        <f t="shared" si="2"/>
        <v>6</v>
      </c>
      <c r="H44" s="665">
        <v>0</v>
      </c>
      <c r="I44" s="669">
        <v>0</v>
      </c>
      <c r="J44" s="669">
        <v>0</v>
      </c>
      <c r="K44" s="860">
        <v>0</v>
      </c>
      <c r="L44" s="669">
        <v>6</v>
      </c>
      <c r="M44" s="669">
        <v>0</v>
      </c>
      <c r="N44" s="669">
        <v>0</v>
      </c>
      <c r="O44" s="669"/>
      <c r="P44" s="669"/>
      <c r="Q44" s="669"/>
      <c r="R44" s="512">
        <v>0</v>
      </c>
      <c r="S44" s="560">
        <v>0</v>
      </c>
    </row>
    <row r="45" spans="1:19" s="655" customFormat="1" ht="15.95" customHeight="1" x14ac:dyDescent="0.25">
      <c r="A45" s="654"/>
      <c r="B45" s="1051" t="s">
        <v>292</v>
      </c>
      <c r="C45" s="1052"/>
      <c r="D45" s="1052"/>
      <c r="E45" s="1052"/>
      <c r="F45" s="1052"/>
      <c r="G45" s="1052"/>
      <c r="H45" s="1052"/>
      <c r="I45" s="1052"/>
      <c r="J45" s="1052"/>
      <c r="K45" s="1052"/>
      <c r="L45" s="1052"/>
      <c r="M45" s="1052"/>
      <c r="N45" s="1052"/>
      <c r="O45" s="1052"/>
      <c r="P45" s="1052"/>
      <c r="Q45" s="1052"/>
      <c r="R45" s="1052"/>
      <c r="S45" s="1053"/>
    </row>
    <row r="46" spans="1:19" ht="15" customHeight="1" x14ac:dyDescent="0.25">
      <c r="A46" s="516"/>
      <c r="B46" s="509" t="s">
        <v>291</v>
      </c>
      <c r="C46" s="902"/>
      <c r="D46" s="871"/>
      <c r="E46" s="511">
        <f>'FY 18'!E43</f>
        <v>2</v>
      </c>
      <c r="F46" s="662">
        <f>'FY 19'!G42</f>
        <v>4</v>
      </c>
      <c r="G46" s="529">
        <f>SUM(H46:S46)</f>
        <v>2</v>
      </c>
      <c r="H46" s="511">
        <v>1</v>
      </c>
      <c r="I46" s="531">
        <v>0</v>
      </c>
      <c r="J46" s="531">
        <v>1</v>
      </c>
      <c r="K46" s="859">
        <v>0</v>
      </c>
      <c r="L46" s="531">
        <v>0</v>
      </c>
      <c r="M46" s="531">
        <v>0</v>
      </c>
      <c r="N46" s="531">
        <v>0</v>
      </c>
      <c r="O46" s="531"/>
      <c r="P46" s="531"/>
      <c r="Q46" s="531"/>
      <c r="R46" s="531"/>
      <c r="S46" s="532"/>
    </row>
    <row r="47" spans="1:19" ht="15" customHeight="1" x14ac:dyDescent="0.25">
      <c r="A47" s="516"/>
      <c r="B47" s="522" t="s">
        <v>294</v>
      </c>
      <c r="C47" s="904"/>
      <c r="D47" s="873"/>
      <c r="E47" s="511">
        <f>'FY 18'!E44</f>
        <v>30</v>
      </c>
      <c r="F47" s="662">
        <f>'FY 19'!G43</f>
        <v>21</v>
      </c>
      <c r="G47" s="517">
        <f>SUM(H47:S47)</f>
        <v>19</v>
      </c>
      <c r="H47" s="511">
        <v>5</v>
      </c>
      <c r="I47" s="531">
        <v>3</v>
      </c>
      <c r="J47" s="531">
        <v>0</v>
      </c>
      <c r="K47" s="859">
        <v>4</v>
      </c>
      <c r="L47" s="531">
        <v>1</v>
      </c>
      <c r="M47" s="531">
        <v>2</v>
      </c>
      <c r="N47" s="531">
        <v>4</v>
      </c>
      <c r="O47" s="531"/>
      <c r="P47" s="531"/>
      <c r="Q47" s="531"/>
      <c r="R47" s="531"/>
      <c r="S47" s="532"/>
    </row>
    <row r="48" spans="1:19" ht="15" customHeight="1" x14ac:dyDescent="0.25">
      <c r="A48" s="516"/>
      <c r="B48" s="522" t="s">
        <v>295</v>
      </c>
      <c r="C48" s="903"/>
      <c r="D48" s="872"/>
      <c r="E48" s="511">
        <f>'FY 18'!E45</f>
        <v>19</v>
      </c>
      <c r="F48" s="662">
        <f>'FY 19'!G44</f>
        <v>22</v>
      </c>
      <c r="G48" s="530">
        <f>SUM(H48:S48)</f>
        <v>17</v>
      </c>
      <c r="H48" s="511">
        <v>1</v>
      </c>
      <c r="I48" s="531">
        <v>4</v>
      </c>
      <c r="J48" s="531">
        <v>0</v>
      </c>
      <c r="K48" s="859">
        <v>2</v>
      </c>
      <c r="L48" s="531">
        <v>2</v>
      </c>
      <c r="M48" s="531">
        <v>2</v>
      </c>
      <c r="N48" s="531">
        <v>0</v>
      </c>
      <c r="O48" s="531"/>
      <c r="P48" s="531"/>
      <c r="Q48" s="531"/>
      <c r="R48" s="531">
        <v>6</v>
      </c>
      <c r="S48" s="532"/>
    </row>
    <row r="49" spans="1:19" ht="15" hidden="1" customHeight="1" x14ac:dyDescent="0.25">
      <c r="A49" s="516"/>
      <c r="B49" s="522" t="s">
        <v>29</v>
      </c>
      <c r="C49" s="750"/>
      <c r="E49" s="1076"/>
      <c r="F49" s="1077"/>
      <c r="G49" s="1078"/>
      <c r="H49" s="519">
        <v>28</v>
      </c>
      <c r="I49" s="520">
        <v>29</v>
      </c>
      <c r="J49" s="520">
        <v>30</v>
      </c>
      <c r="K49" s="505" t="s">
        <v>136</v>
      </c>
      <c r="L49" s="520">
        <v>36</v>
      </c>
      <c r="M49" s="520">
        <v>36</v>
      </c>
      <c r="N49" s="520">
        <v>38</v>
      </c>
      <c r="O49" s="520">
        <v>30</v>
      </c>
      <c r="P49" s="520">
        <v>30</v>
      </c>
      <c r="Q49" s="520"/>
      <c r="R49" s="520"/>
      <c r="S49" s="532"/>
    </row>
    <row r="50" spans="1:19" ht="15" hidden="1" customHeight="1" x14ac:dyDescent="0.25">
      <c r="A50" s="516"/>
      <c r="B50" s="522" t="s">
        <v>30</v>
      </c>
      <c r="C50" s="750"/>
      <c r="E50" s="1076"/>
      <c r="F50" s="1077"/>
      <c r="G50" s="1078"/>
      <c r="H50" s="533">
        <v>23</v>
      </c>
      <c r="I50" s="533">
        <v>29</v>
      </c>
      <c r="J50" s="533">
        <v>21</v>
      </c>
      <c r="K50" s="505" t="s">
        <v>136</v>
      </c>
      <c r="L50" s="505" t="s">
        <v>136</v>
      </c>
      <c r="M50" s="505" t="s">
        <v>136</v>
      </c>
      <c r="N50" s="505" t="s">
        <v>136</v>
      </c>
      <c r="O50" s="505" t="s">
        <v>136</v>
      </c>
      <c r="P50" s="533"/>
      <c r="Q50" s="533"/>
      <c r="R50" s="520"/>
      <c r="S50" s="532"/>
    </row>
    <row r="51" spans="1:19" ht="15" hidden="1" customHeight="1" x14ac:dyDescent="0.25">
      <c r="A51" s="516"/>
      <c r="B51" s="522" t="s">
        <v>36</v>
      </c>
      <c r="C51" s="902"/>
      <c r="D51" s="871"/>
      <c r="E51" s="788">
        <v>52</v>
      </c>
      <c r="F51" s="789">
        <v>70</v>
      </c>
      <c r="G51" s="529">
        <f>SUM(H51:S51)</f>
        <v>12</v>
      </c>
      <c r="H51" s="519">
        <v>6</v>
      </c>
      <c r="I51" s="520">
        <v>6</v>
      </c>
      <c r="J51" s="505" t="s">
        <v>136</v>
      </c>
      <c r="K51" s="505" t="s">
        <v>136</v>
      </c>
      <c r="L51" s="505" t="s">
        <v>136</v>
      </c>
      <c r="M51" s="505" t="s">
        <v>136</v>
      </c>
      <c r="N51" s="505" t="s">
        <v>136</v>
      </c>
      <c r="O51" s="520">
        <v>0</v>
      </c>
      <c r="P51" s="520">
        <v>0</v>
      </c>
      <c r="Q51" s="520"/>
      <c r="R51" s="520"/>
      <c r="S51" s="521"/>
    </row>
    <row r="52" spans="1:19" ht="15" hidden="1" customHeight="1" x14ac:dyDescent="0.25">
      <c r="A52" s="516"/>
      <c r="B52" s="514" t="s">
        <v>35</v>
      </c>
      <c r="C52" s="903"/>
      <c r="D52" s="872"/>
      <c r="E52" s="790">
        <v>269</v>
      </c>
      <c r="F52" s="791">
        <v>300</v>
      </c>
      <c r="G52" s="530">
        <f>SUM(H52:S52)</f>
        <v>250</v>
      </c>
      <c r="H52" s="524">
        <v>33</v>
      </c>
      <c r="I52" s="525">
        <v>22</v>
      </c>
      <c r="J52" s="533">
        <v>17</v>
      </c>
      <c r="K52" s="533">
        <v>23</v>
      </c>
      <c r="L52" s="533">
        <v>23</v>
      </c>
      <c r="M52" s="533">
        <v>32</v>
      </c>
      <c r="N52" s="525">
        <v>30</v>
      </c>
      <c r="O52" s="525">
        <v>34</v>
      </c>
      <c r="P52" s="525">
        <v>36</v>
      </c>
      <c r="Q52" s="525"/>
      <c r="R52" s="525"/>
      <c r="S52" s="526"/>
    </row>
    <row r="53" spans="1:19" s="655" customFormat="1" ht="15.95" customHeight="1" x14ac:dyDescent="0.25">
      <c r="A53" s="654"/>
      <c r="B53" s="1079" t="s">
        <v>382</v>
      </c>
      <c r="C53" s="1080"/>
      <c r="D53" s="1080"/>
      <c r="E53" s="1080"/>
      <c r="F53" s="1080"/>
      <c r="G53" s="1080"/>
      <c r="H53" s="1080"/>
      <c r="I53" s="1080"/>
      <c r="J53" s="1080"/>
      <c r="K53" s="1080"/>
      <c r="L53" s="1080"/>
      <c r="M53" s="1080"/>
      <c r="N53" s="1080"/>
      <c r="O53" s="1080"/>
      <c r="P53" s="1080"/>
      <c r="Q53" s="1080"/>
      <c r="R53" s="1080"/>
      <c r="S53" s="1081"/>
    </row>
    <row r="54" spans="1:19" ht="15" customHeight="1" x14ac:dyDescent="0.25">
      <c r="A54" s="516"/>
      <c r="B54" s="509" t="s">
        <v>296</v>
      </c>
      <c r="C54" s="750"/>
      <c r="E54" s="724">
        <v>0</v>
      </c>
      <c r="F54" s="725">
        <v>988</v>
      </c>
      <c r="G54" s="722">
        <f>SUM(H54:S54)</f>
        <v>692</v>
      </c>
      <c r="H54" s="511">
        <v>99</v>
      </c>
      <c r="I54" s="670">
        <v>102</v>
      </c>
      <c r="J54" s="670">
        <v>101</v>
      </c>
      <c r="K54" s="861">
        <v>98</v>
      </c>
      <c r="L54" s="670">
        <v>97</v>
      </c>
      <c r="M54" s="670">
        <v>98</v>
      </c>
      <c r="N54" s="670">
        <v>97</v>
      </c>
      <c r="O54" s="670"/>
      <c r="P54" s="670"/>
      <c r="Q54" s="670"/>
      <c r="R54" s="670" t="s">
        <v>397</v>
      </c>
      <c r="S54" s="671"/>
    </row>
    <row r="55" spans="1:19" ht="15" customHeight="1" x14ac:dyDescent="0.25">
      <c r="A55" s="516"/>
      <c r="B55" s="762" t="s">
        <v>297</v>
      </c>
      <c r="C55" s="907"/>
      <c r="E55" s="724">
        <v>0</v>
      </c>
      <c r="F55" s="725">
        <v>27</v>
      </c>
      <c r="G55" s="723">
        <f>SUM(H55:S55)</f>
        <v>8</v>
      </c>
      <c r="H55" s="511">
        <v>3</v>
      </c>
      <c r="I55" s="525">
        <v>1</v>
      </c>
      <c r="J55" s="525">
        <v>0</v>
      </c>
      <c r="K55" s="812">
        <v>0</v>
      </c>
      <c r="L55" s="525">
        <v>1</v>
      </c>
      <c r="M55" s="525">
        <v>2</v>
      </c>
      <c r="N55" s="525">
        <v>1</v>
      </c>
      <c r="O55" s="525"/>
      <c r="P55" s="525"/>
      <c r="Q55" s="525"/>
      <c r="R55" s="670" t="s">
        <v>397</v>
      </c>
      <c r="S55" s="526"/>
    </row>
    <row r="56" spans="1:19" ht="15" customHeight="1" x14ac:dyDescent="0.25">
      <c r="A56" s="516"/>
      <c r="B56" s="762" t="s">
        <v>298</v>
      </c>
      <c r="C56" s="907"/>
      <c r="E56" s="724">
        <v>0</v>
      </c>
      <c r="F56" s="725">
        <v>21</v>
      </c>
      <c r="G56" s="723">
        <f>SUM(H56:S56)</f>
        <v>6</v>
      </c>
      <c r="H56" s="511">
        <v>0</v>
      </c>
      <c r="I56" s="525">
        <v>0</v>
      </c>
      <c r="J56" s="525">
        <v>1</v>
      </c>
      <c r="K56" s="812">
        <v>0</v>
      </c>
      <c r="L56" s="525">
        <v>2</v>
      </c>
      <c r="M56" s="525">
        <v>0</v>
      </c>
      <c r="N56" s="525">
        <v>3</v>
      </c>
      <c r="O56" s="525"/>
      <c r="P56" s="525"/>
      <c r="Q56" s="525"/>
      <c r="R56" s="670" t="s">
        <v>397</v>
      </c>
      <c r="S56" s="526"/>
    </row>
    <row r="57" spans="1:19" ht="15" customHeight="1" x14ac:dyDescent="0.25">
      <c r="A57" s="516"/>
      <c r="B57" s="534" t="s">
        <v>299</v>
      </c>
      <c r="E57" s="724">
        <v>0</v>
      </c>
      <c r="F57" s="725">
        <v>195</v>
      </c>
      <c r="G57" s="723">
        <f>SUM(H57:S57)</f>
        <v>87</v>
      </c>
      <c r="H57" s="511">
        <v>10</v>
      </c>
      <c r="I57" s="525">
        <v>16</v>
      </c>
      <c r="J57" s="525">
        <v>14</v>
      </c>
      <c r="K57" s="812">
        <v>13</v>
      </c>
      <c r="L57" s="525">
        <v>10</v>
      </c>
      <c r="M57" s="525">
        <v>11</v>
      </c>
      <c r="N57" s="525">
        <v>13</v>
      </c>
      <c r="O57" s="525"/>
      <c r="P57" s="525"/>
      <c r="Q57" s="525"/>
      <c r="R57" s="670" t="s">
        <v>397</v>
      </c>
      <c r="S57" s="526"/>
    </row>
    <row r="58" spans="1:19" ht="15" customHeight="1" x14ac:dyDescent="0.25">
      <c r="A58" s="516"/>
      <c r="B58" s="535" t="s">
        <v>300</v>
      </c>
      <c r="E58" s="687">
        <f>'FY 18'!E55</f>
        <v>77</v>
      </c>
      <c r="F58" s="688">
        <f>'FY 19'!G54</f>
        <v>72</v>
      </c>
      <c r="G58" s="689">
        <f>SUM(H58:S58)</f>
        <v>1</v>
      </c>
      <c r="H58" s="665">
        <v>0</v>
      </c>
      <c r="I58" s="525">
        <v>0</v>
      </c>
      <c r="J58" s="525">
        <v>0</v>
      </c>
      <c r="K58" s="812">
        <v>0</v>
      </c>
      <c r="L58" s="812">
        <v>0</v>
      </c>
      <c r="M58" s="812">
        <v>1</v>
      </c>
      <c r="N58" s="525">
        <v>0</v>
      </c>
      <c r="O58" s="525"/>
      <c r="P58" s="525"/>
      <c r="Q58" s="525"/>
      <c r="R58" s="670" t="s">
        <v>397</v>
      </c>
      <c r="S58" s="526"/>
    </row>
    <row r="59" spans="1:19" s="655" customFormat="1" ht="15.95" customHeight="1" x14ac:dyDescent="0.25">
      <c r="A59" s="654"/>
      <c r="B59" s="1051" t="s">
        <v>39</v>
      </c>
      <c r="C59" s="1052"/>
      <c r="D59" s="1052"/>
      <c r="E59" s="1052"/>
      <c r="F59" s="1052"/>
      <c r="G59" s="1052"/>
      <c r="H59" s="1052"/>
      <c r="I59" s="1052"/>
      <c r="J59" s="1052"/>
      <c r="K59" s="1052"/>
      <c r="L59" s="1052"/>
      <c r="M59" s="1052"/>
      <c r="N59" s="1052"/>
      <c r="O59" s="1052"/>
      <c r="P59" s="1052"/>
      <c r="Q59" s="1052"/>
      <c r="R59" s="1052"/>
      <c r="S59" s="1053"/>
    </row>
    <row r="60" spans="1:19" ht="15" customHeight="1" x14ac:dyDescent="0.25">
      <c r="A60" s="516"/>
      <c r="B60" s="536" t="s">
        <v>372</v>
      </c>
      <c r="C60" s="909"/>
      <c r="D60" s="871"/>
      <c r="E60" s="537">
        <f>'FY 18'!E57</f>
        <v>290</v>
      </c>
      <c r="F60" s="667">
        <f>'FY 19'!G56</f>
        <v>191</v>
      </c>
      <c r="G60" s="510">
        <f t="shared" ref="G60:G65" si="3">SUM(H60:S60)</f>
        <v>177</v>
      </c>
      <c r="H60" s="537">
        <v>5</v>
      </c>
      <c r="I60" s="538">
        <v>0</v>
      </c>
      <c r="J60" s="538">
        <v>0</v>
      </c>
      <c r="K60" s="538">
        <v>0</v>
      </c>
      <c r="L60" s="538">
        <v>0</v>
      </c>
      <c r="M60" s="538">
        <v>0</v>
      </c>
      <c r="N60" s="538">
        <v>0</v>
      </c>
      <c r="O60" s="538">
        <v>0</v>
      </c>
      <c r="P60" s="538"/>
      <c r="Q60" s="538"/>
      <c r="R60" s="538"/>
      <c r="S60" s="569">
        <v>172</v>
      </c>
    </row>
    <row r="61" spans="1:19" ht="15" customHeight="1" x14ac:dyDescent="0.25">
      <c r="A61" s="516"/>
      <c r="B61" s="762" t="s">
        <v>301</v>
      </c>
      <c r="C61" s="910"/>
      <c r="D61" s="873"/>
      <c r="E61" s="537">
        <f>'FY 18'!E58</f>
        <v>224</v>
      </c>
      <c r="F61" s="667">
        <f>'FY 19'!G57</f>
        <v>119</v>
      </c>
      <c r="G61" s="523">
        <f t="shared" si="3"/>
        <v>5</v>
      </c>
      <c r="H61" s="540">
        <v>5</v>
      </c>
      <c r="I61" s="541">
        <v>0</v>
      </c>
      <c r="J61" s="541">
        <v>0</v>
      </c>
      <c r="K61" s="541">
        <v>0</v>
      </c>
      <c r="L61" s="541">
        <v>0</v>
      </c>
      <c r="M61" s="541">
        <v>0</v>
      </c>
      <c r="N61" s="538">
        <v>0</v>
      </c>
      <c r="O61" s="538">
        <v>0</v>
      </c>
      <c r="P61" s="541"/>
      <c r="Q61" s="541"/>
      <c r="R61" s="541"/>
      <c r="S61" s="539"/>
    </row>
    <row r="62" spans="1:19" ht="15" customHeight="1" x14ac:dyDescent="0.25">
      <c r="A62" s="516"/>
      <c r="B62" s="534" t="s">
        <v>373</v>
      </c>
      <c r="C62" s="911"/>
      <c r="D62" s="873"/>
      <c r="E62" s="537">
        <f>'FY 18'!E59</f>
        <v>1882</v>
      </c>
      <c r="F62" s="667">
        <f>'FY 19'!G58</f>
        <v>1421</v>
      </c>
      <c r="G62" s="523">
        <f t="shared" si="3"/>
        <v>1413</v>
      </c>
      <c r="H62" s="540">
        <v>0</v>
      </c>
      <c r="I62" s="541">
        <v>0</v>
      </c>
      <c r="J62" s="541">
        <v>187</v>
      </c>
      <c r="K62" s="853">
        <v>591</v>
      </c>
      <c r="L62" s="541">
        <v>635</v>
      </c>
      <c r="M62" s="541">
        <v>0</v>
      </c>
      <c r="N62" s="538">
        <v>0</v>
      </c>
      <c r="O62" s="538">
        <v>0</v>
      </c>
      <c r="P62" s="541"/>
      <c r="Q62" s="541"/>
      <c r="R62" s="541"/>
      <c r="S62" s="539"/>
    </row>
    <row r="63" spans="1:19" ht="15" customHeight="1" x14ac:dyDescent="0.25">
      <c r="A63" s="516"/>
      <c r="B63" s="762" t="s">
        <v>302</v>
      </c>
      <c r="C63" s="910"/>
      <c r="D63" s="873"/>
      <c r="E63" s="537">
        <f>'FY 18'!E60</f>
        <v>1796</v>
      </c>
      <c r="F63" s="667">
        <f>'FY 19'!G59</f>
        <v>1250</v>
      </c>
      <c r="G63" s="523">
        <f t="shared" si="3"/>
        <v>1005</v>
      </c>
      <c r="H63" s="540">
        <v>0</v>
      </c>
      <c r="I63" s="541">
        <v>0</v>
      </c>
      <c r="J63" s="541">
        <v>0</v>
      </c>
      <c r="K63" s="853">
        <v>414</v>
      </c>
      <c r="L63" s="541">
        <v>591</v>
      </c>
      <c r="M63" s="541">
        <v>0</v>
      </c>
      <c r="N63" s="538">
        <v>0</v>
      </c>
      <c r="O63" s="538">
        <v>0</v>
      </c>
      <c r="P63" s="541"/>
      <c r="Q63" s="541"/>
      <c r="R63" s="541"/>
      <c r="S63" s="539"/>
    </row>
    <row r="64" spans="1:19" ht="15" customHeight="1" x14ac:dyDescent="0.25">
      <c r="A64" s="516"/>
      <c r="B64" s="534" t="s">
        <v>374</v>
      </c>
      <c r="C64" s="911"/>
      <c r="D64" s="873"/>
      <c r="E64" s="537">
        <f>'FY 18'!E61</f>
        <v>3095</v>
      </c>
      <c r="F64" s="667">
        <f>'FY 19'!G60</f>
        <v>3350</v>
      </c>
      <c r="G64" s="523">
        <f t="shared" si="3"/>
        <v>3405</v>
      </c>
      <c r="H64" s="540">
        <v>0</v>
      </c>
      <c r="I64" s="541">
        <v>0</v>
      </c>
      <c r="J64" s="541">
        <v>237</v>
      </c>
      <c r="K64" s="853">
        <v>961</v>
      </c>
      <c r="L64" s="541">
        <v>1102</v>
      </c>
      <c r="M64" s="541">
        <v>1105</v>
      </c>
      <c r="N64" s="538">
        <v>0</v>
      </c>
      <c r="O64" s="538">
        <v>0</v>
      </c>
      <c r="P64" s="541"/>
      <c r="Q64" s="541"/>
      <c r="R64" s="541"/>
      <c r="S64" s="539"/>
    </row>
    <row r="65" spans="1:20" ht="15" customHeight="1" x14ac:dyDescent="0.25">
      <c r="A65" s="516"/>
      <c r="B65" s="761" t="s">
        <v>303</v>
      </c>
      <c r="C65" s="906"/>
      <c r="D65" s="872"/>
      <c r="E65" s="537">
        <f>'FY 18'!E62</f>
        <v>2982</v>
      </c>
      <c r="F65" s="667">
        <f>'FY 19'!G61</f>
        <v>3135</v>
      </c>
      <c r="G65" s="515">
        <f t="shared" si="3"/>
        <v>2897</v>
      </c>
      <c r="H65" s="595">
        <v>0</v>
      </c>
      <c r="I65" s="559">
        <v>0</v>
      </c>
      <c r="J65" s="559">
        <v>4</v>
      </c>
      <c r="K65" s="854">
        <v>829</v>
      </c>
      <c r="L65" s="541">
        <v>1032</v>
      </c>
      <c r="M65" s="559">
        <v>1032</v>
      </c>
      <c r="N65" s="538">
        <v>0</v>
      </c>
      <c r="O65" s="538">
        <v>0</v>
      </c>
      <c r="P65" s="559"/>
      <c r="Q65" s="559"/>
      <c r="R65" s="559"/>
      <c r="S65" s="571"/>
    </row>
    <row r="66" spans="1:20" s="655" customFormat="1" ht="15.95" customHeight="1" x14ac:dyDescent="0.25">
      <c r="A66" s="654"/>
      <c r="B66" s="1051" t="s">
        <v>240</v>
      </c>
      <c r="C66" s="1052"/>
      <c r="D66" s="1052"/>
      <c r="E66" s="1052"/>
      <c r="F66" s="1052"/>
      <c r="G66" s="1052"/>
      <c r="H66" s="1052"/>
      <c r="I66" s="1052"/>
      <c r="J66" s="1052"/>
      <c r="K66" s="1052"/>
      <c r="L66" s="1052"/>
      <c r="M66" s="1052"/>
      <c r="N66" s="1052"/>
      <c r="O66" s="1052"/>
      <c r="P66" s="1052"/>
      <c r="Q66" s="1052"/>
      <c r="R66" s="1052"/>
      <c r="S66" s="1053"/>
    </row>
    <row r="67" spans="1:20" ht="15" customHeight="1" x14ac:dyDescent="0.25">
      <c r="A67" s="516"/>
      <c r="B67" s="509" t="s">
        <v>304</v>
      </c>
      <c r="C67" s="750"/>
      <c r="E67" s="934">
        <f>'FY 19'!F63</f>
        <v>2755926.6100000003</v>
      </c>
      <c r="F67" s="544">
        <f>'FY 19'!G63</f>
        <v>3094534.5100000002</v>
      </c>
      <c r="G67" s="544">
        <f>SUM(H67:S67)</f>
        <v>3338074.2199999997</v>
      </c>
      <c r="H67" s="545">
        <v>287202.78999999998</v>
      </c>
      <c r="I67" s="554">
        <v>284255.63</v>
      </c>
      <c r="J67" s="554">
        <v>287036.26</v>
      </c>
      <c r="K67" s="855">
        <f>SUM(278976.4+1679.71)</f>
        <v>280656.11000000004</v>
      </c>
      <c r="L67" s="554">
        <v>279471.46999999997</v>
      </c>
      <c r="M67" s="554">
        <v>280299.74</v>
      </c>
      <c r="N67" s="554">
        <f>291780.48+979.5</f>
        <v>292759.98</v>
      </c>
      <c r="O67" s="554">
        <f>266243.88 + 9622.96</f>
        <v>275866.84000000003</v>
      </c>
      <c r="P67" s="554">
        <f>267410.47 + 302.71</f>
        <v>267713.18</v>
      </c>
      <c r="Q67" s="554">
        <f>272747.84 + 1426.71</f>
        <v>274174.55000000005</v>
      </c>
      <c r="R67" s="923">
        <v>268303.34999999998</v>
      </c>
      <c r="S67" s="546">
        <v>260334.32</v>
      </c>
    </row>
    <row r="68" spans="1:20" ht="15" customHeight="1" x14ac:dyDescent="0.25">
      <c r="A68" s="516"/>
      <c r="B68" s="522" t="s">
        <v>305</v>
      </c>
      <c r="C68" s="750"/>
      <c r="E68" s="934">
        <f>'FY 19'!F64</f>
        <v>34195.85</v>
      </c>
      <c r="F68" s="544">
        <f>'FY 19'!G64</f>
        <v>35037.230000000003</v>
      </c>
      <c r="G68" s="547">
        <f t="shared" ref="G68:G77" si="4">SUM(H68:S68)</f>
        <v>33449.75</v>
      </c>
      <c r="H68" s="548">
        <v>2924.09</v>
      </c>
      <c r="I68" s="554">
        <v>2962.38</v>
      </c>
      <c r="J68" s="554">
        <v>2988.86</v>
      </c>
      <c r="K68" s="855">
        <v>3015.91</v>
      </c>
      <c r="L68" s="554">
        <v>2894.52</v>
      </c>
      <c r="M68" s="554">
        <v>2764.72</v>
      </c>
      <c r="N68" s="554">
        <v>2795.52</v>
      </c>
      <c r="O68" s="554">
        <v>2596.7600000000002</v>
      </c>
      <c r="P68" s="554">
        <v>2590.0300000000002</v>
      </c>
      <c r="Q68" s="554">
        <v>2682.66</v>
      </c>
      <c r="R68" s="923">
        <v>2662.24</v>
      </c>
      <c r="S68" s="546">
        <v>2572.06</v>
      </c>
    </row>
    <row r="69" spans="1:20" ht="15" customHeight="1" x14ac:dyDescent="0.25">
      <c r="A69" s="516"/>
      <c r="B69" s="522" t="s">
        <v>243</v>
      </c>
      <c r="C69" s="750"/>
      <c r="E69" s="934">
        <f>'FY 19'!F65</f>
        <v>108307.32999999999</v>
      </c>
      <c r="F69" s="544">
        <f>'FY 19'!G65</f>
        <v>116606.05</v>
      </c>
      <c r="G69" s="547">
        <f t="shared" si="4"/>
        <v>113161.79</v>
      </c>
      <c r="H69" s="548">
        <v>13000</v>
      </c>
      <c r="I69" s="554">
        <v>4800.08</v>
      </c>
      <c r="J69" s="554">
        <v>1162.3699999999999</v>
      </c>
      <c r="K69" s="855">
        <f>SUM(13320+17870)</f>
        <v>31190</v>
      </c>
      <c r="L69" s="554">
        <v>580</v>
      </c>
      <c r="M69" s="554">
        <v>800</v>
      </c>
      <c r="N69" s="554">
        <f>11980+15980</f>
        <v>27960</v>
      </c>
      <c r="O69" s="554">
        <v>2019.34</v>
      </c>
      <c r="P69" s="554" t="s">
        <v>397</v>
      </c>
      <c r="Q69" s="554">
        <f>11990 + 19340</f>
        <v>31330</v>
      </c>
      <c r="R69" s="923">
        <v>320</v>
      </c>
      <c r="S69" s="546" t="s">
        <v>397</v>
      </c>
    </row>
    <row r="70" spans="1:20" ht="15" customHeight="1" x14ac:dyDescent="0.25">
      <c r="A70" s="516"/>
      <c r="B70" s="514" t="s">
        <v>244</v>
      </c>
      <c r="C70" s="750"/>
      <c r="E70" s="934">
        <f>'FY 19'!F66</f>
        <v>15228.740000000002</v>
      </c>
      <c r="F70" s="544">
        <f>'FY 19'!G66</f>
        <v>32788.129999999997</v>
      </c>
      <c r="G70" s="547">
        <f t="shared" si="4"/>
        <v>24966.190000000002</v>
      </c>
      <c r="H70" s="548">
        <v>2058.5</v>
      </c>
      <c r="I70" s="554">
        <v>6453.61</v>
      </c>
      <c r="J70" s="554">
        <v>2253.1999999999998</v>
      </c>
      <c r="K70" s="855">
        <v>996</v>
      </c>
      <c r="L70" s="554">
        <v>331.2</v>
      </c>
      <c r="M70" s="554">
        <v>818.6</v>
      </c>
      <c r="N70" s="923">
        <v>4398.8</v>
      </c>
      <c r="O70" s="554">
        <v>851</v>
      </c>
      <c r="P70" s="554">
        <v>200</v>
      </c>
      <c r="Q70" s="923">
        <v>1916.8</v>
      </c>
      <c r="R70" s="923">
        <v>2316</v>
      </c>
      <c r="S70" s="546">
        <v>2372.48</v>
      </c>
    </row>
    <row r="71" spans="1:20" ht="15" customHeight="1" x14ac:dyDescent="0.25">
      <c r="A71" s="516"/>
      <c r="B71" s="509" t="s">
        <v>245</v>
      </c>
      <c r="C71" s="750"/>
      <c r="E71" s="934">
        <f>'FY 19'!F67</f>
        <v>165962.40000000002</v>
      </c>
      <c r="F71" s="544">
        <f>'FY 19'!G67</f>
        <v>277181.44</v>
      </c>
      <c r="G71" s="547">
        <f t="shared" si="4"/>
        <v>172290.38999999998</v>
      </c>
      <c r="H71" s="548">
        <f>SUM(32587.59+1245.52)</f>
        <v>33833.11</v>
      </c>
      <c r="I71" s="554">
        <v>25665.73</v>
      </c>
      <c r="J71" s="554">
        <v>15535.15</v>
      </c>
      <c r="K71" s="855">
        <f>SUM(11438.36+1732.2)</f>
        <v>13170.560000000001</v>
      </c>
      <c r="L71" s="554">
        <v>5504.1</v>
      </c>
      <c r="M71" s="554">
        <v>11244.09</v>
      </c>
      <c r="N71" s="554">
        <f>9895.92+886.42</f>
        <v>10782.34</v>
      </c>
      <c r="O71" s="554">
        <f>8131.06 +280</f>
        <v>8411.0600000000013</v>
      </c>
      <c r="P71" s="554">
        <f>916.25 + 595</f>
        <v>1511.25</v>
      </c>
      <c r="Q71" s="554">
        <f>1378.74 + 12719.2</f>
        <v>14097.94</v>
      </c>
      <c r="R71" s="923">
        <f>SUM(134.3+250+105+9401.25)</f>
        <v>9890.5499999999993</v>
      </c>
      <c r="S71" s="546">
        <f>22042.02+116+486.49</f>
        <v>22644.510000000002</v>
      </c>
    </row>
    <row r="72" spans="1:20" ht="15" customHeight="1" x14ac:dyDescent="0.25">
      <c r="A72" s="516"/>
      <c r="B72" s="522" t="s">
        <v>306</v>
      </c>
      <c r="C72" s="750"/>
      <c r="E72" s="934">
        <f>'FY 19'!F68</f>
        <v>47243.45</v>
      </c>
      <c r="F72" s="544">
        <f>'FY 19'!G68</f>
        <v>52789.42</v>
      </c>
      <c r="G72" s="547">
        <f t="shared" si="4"/>
        <v>27688.7</v>
      </c>
      <c r="H72" s="548">
        <v>1640</v>
      </c>
      <c r="I72" s="554">
        <v>1227.5999999999999</v>
      </c>
      <c r="J72" s="554">
        <v>600</v>
      </c>
      <c r="K72" s="855">
        <v>1155</v>
      </c>
      <c r="L72" s="554">
        <v>1206.9000000000001</v>
      </c>
      <c r="M72" s="554">
        <v>1380</v>
      </c>
      <c r="N72" s="554">
        <v>8130.47</v>
      </c>
      <c r="O72" s="554">
        <v>1129.93</v>
      </c>
      <c r="P72" s="554">
        <v>350</v>
      </c>
      <c r="Q72" s="554">
        <v>790</v>
      </c>
      <c r="R72" s="923">
        <v>7128.8</v>
      </c>
      <c r="S72" s="546">
        <v>2950</v>
      </c>
    </row>
    <row r="73" spans="1:20" ht="15" customHeight="1" x14ac:dyDescent="0.25">
      <c r="A73" s="516"/>
      <c r="B73" s="522" t="s">
        <v>307</v>
      </c>
      <c r="C73" s="750"/>
      <c r="E73" s="934">
        <f>'FY 19'!F69</f>
        <v>65578.239999999991</v>
      </c>
      <c r="F73" s="544">
        <f>'FY 19'!G69</f>
        <v>93451.309999999983</v>
      </c>
      <c r="G73" s="547">
        <f t="shared" si="4"/>
        <v>26204.76</v>
      </c>
      <c r="H73" s="548">
        <v>4879.49</v>
      </c>
      <c r="I73" s="554">
        <v>1257</v>
      </c>
      <c r="J73" s="554">
        <v>4871.8999999999996</v>
      </c>
      <c r="K73" s="855">
        <v>7294.23</v>
      </c>
      <c r="L73" s="554">
        <v>255</v>
      </c>
      <c r="M73" s="696">
        <v>60</v>
      </c>
      <c r="N73" s="554">
        <v>1246.4000000000001</v>
      </c>
      <c r="O73" s="554">
        <v>919.3</v>
      </c>
      <c r="P73" s="554" t="s">
        <v>397</v>
      </c>
      <c r="Q73" s="554">
        <v>1760</v>
      </c>
      <c r="R73" s="923">
        <v>3191.44</v>
      </c>
      <c r="S73" s="546">
        <v>470</v>
      </c>
    </row>
    <row r="74" spans="1:20" ht="15" customHeight="1" x14ac:dyDescent="0.25">
      <c r="A74" s="516"/>
      <c r="B74" s="534" t="s">
        <v>308</v>
      </c>
      <c r="D74" s="878"/>
      <c r="E74" s="934">
        <f>'FY 19'!F70</f>
        <v>3333</v>
      </c>
      <c r="F74" s="544">
        <f>'FY 19'!G70</f>
        <v>7838.65</v>
      </c>
      <c r="G74" s="668">
        <f t="shared" si="4"/>
        <v>0</v>
      </c>
      <c r="H74" s="548">
        <v>0</v>
      </c>
      <c r="I74" s="548">
        <v>0</v>
      </c>
      <c r="J74" s="554">
        <v>0</v>
      </c>
      <c r="K74" s="554">
        <v>0</v>
      </c>
      <c r="L74" s="554">
        <v>0</v>
      </c>
      <c r="M74" s="554">
        <v>0</v>
      </c>
      <c r="N74" s="554">
        <v>0</v>
      </c>
      <c r="O74" s="923">
        <v>0</v>
      </c>
      <c r="P74" s="923">
        <v>0</v>
      </c>
      <c r="Q74" s="923">
        <v>0</v>
      </c>
      <c r="R74" s="923">
        <v>0</v>
      </c>
      <c r="S74" s="923">
        <v>0</v>
      </c>
    </row>
    <row r="75" spans="1:20" ht="15" customHeight="1" x14ac:dyDescent="0.25">
      <c r="A75" s="516"/>
      <c r="B75" s="534" t="s">
        <v>404</v>
      </c>
      <c r="D75" s="878"/>
      <c r="E75" s="934"/>
      <c r="F75" s="544"/>
      <c r="G75" s="668"/>
      <c r="H75" s="548"/>
      <c r="I75" s="923"/>
      <c r="J75" s="924"/>
      <c r="K75" s="924"/>
      <c r="L75" s="924"/>
      <c r="M75" s="924"/>
      <c r="N75" s="924"/>
      <c r="O75" s="923"/>
      <c r="P75" s="923"/>
      <c r="Q75" s="923"/>
      <c r="R75" s="923"/>
      <c r="S75" s="546">
        <v>46799.91</v>
      </c>
    </row>
    <row r="76" spans="1:20" ht="15" customHeight="1" x14ac:dyDescent="0.25">
      <c r="A76" s="516"/>
      <c r="B76" s="534" t="s">
        <v>393</v>
      </c>
      <c r="D76" s="878"/>
      <c r="E76" s="934">
        <f>'FY 19'!F71</f>
        <v>0</v>
      </c>
      <c r="F76" s="544">
        <f>'FY 19'!G71</f>
        <v>56500.57</v>
      </c>
      <c r="G76" s="668">
        <f t="shared" si="4"/>
        <v>29252.26</v>
      </c>
      <c r="H76" s="548">
        <v>2001.29</v>
      </c>
      <c r="I76" s="924">
        <v>2096.5100000000002</v>
      </c>
      <c r="J76" s="924">
        <v>3813.74</v>
      </c>
      <c r="K76" s="925">
        <v>6787.7</v>
      </c>
      <c r="L76" s="924">
        <v>2807.13</v>
      </c>
      <c r="M76" s="924">
        <v>4245.1099999999997</v>
      </c>
      <c r="N76" s="924">
        <v>1989.74</v>
      </c>
      <c r="O76" s="923">
        <v>431.76</v>
      </c>
      <c r="P76" s="924">
        <v>1788.04</v>
      </c>
      <c r="Q76" s="924">
        <v>12.53</v>
      </c>
      <c r="R76" s="923">
        <v>2107.16</v>
      </c>
      <c r="S76" s="546">
        <v>1171.55</v>
      </c>
    </row>
    <row r="77" spans="1:20" ht="15" customHeight="1" x14ac:dyDescent="0.25">
      <c r="A77" s="516"/>
      <c r="B77" s="534" t="s">
        <v>309</v>
      </c>
      <c r="D77" s="878"/>
      <c r="E77" s="934">
        <f>'FY 19'!F72</f>
        <v>3195775.620000001</v>
      </c>
      <c r="F77" s="544">
        <f>'FY 19'!G72</f>
        <v>3659111.4499999993</v>
      </c>
      <c r="G77" s="668">
        <f t="shared" si="4"/>
        <v>3782776.5399999996</v>
      </c>
      <c r="H77" s="548">
        <v>356992.15</v>
      </c>
      <c r="I77" s="673">
        <f>SUM(I67:I74)</f>
        <v>326622.02999999997</v>
      </c>
      <c r="J77" s="673">
        <v>310634</v>
      </c>
      <c r="K77" s="856">
        <f>SUM(K67:K74)</f>
        <v>337477.81</v>
      </c>
      <c r="L77" s="673">
        <v>290243.57</v>
      </c>
      <c r="M77" s="673">
        <v>297367.15000000002</v>
      </c>
      <c r="N77" s="673">
        <v>346083.77</v>
      </c>
      <c r="O77" s="673">
        <v>291363.27</v>
      </c>
      <c r="P77" s="673">
        <v>270576.42</v>
      </c>
      <c r="Q77" s="673">
        <v>326739.42</v>
      </c>
      <c r="R77" s="923">
        <v>291705.21999999997</v>
      </c>
      <c r="S77" s="546">
        <v>336971.73</v>
      </c>
      <c r="T77" s="556"/>
    </row>
    <row r="78" spans="1:20" ht="31.5" customHeight="1" x14ac:dyDescent="0.25">
      <c r="A78" s="516"/>
      <c r="B78" s="535" t="s">
        <v>310</v>
      </c>
      <c r="D78" s="877"/>
      <c r="E78" s="934">
        <f>'FY 19'!F73</f>
        <v>112492.32</v>
      </c>
      <c r="F78" s="544">
        <f>'FY 19'!G73</f>
        <v>114974.13999999998</v>
      </c>
      <c r="G78" s="553">
        <f>SUM(H78:S78)</f>
        <v>24577.200000000001</v>
      </c>
      <c r="H78" s="674">
        <v>4610.4399999999996</v>
      </c>
      <c r="I78" s="675">
        <v>4762</v>
      </c>
      <c r="J78" s="834">
        <v>1701.13</v>
      </c>
      <c r="K78" s="857">
        <v>1902.63</v>
      </c>
      <c r="L78" s="675">
        <v>1902</v>
      </c>
      <c r="M78" s="675">
        <v>1902</v>
      </c>
      <c r="N78" s="675">
        <v>6963</v>
      </c>
      <c r="O78" s="953" t="s">
        <v>403</v>
      </c>
      <c r="P78" s="953" t="s">
        <v>403</v>
      </c>
      <c r="Q78" s="953" t="s">
        <v>403</v>
      </c>
      <c r="R78" s="953" t="s">
        <v>403</v>
      </c>
      <c r="S78" s="676">
        <v>834</v>
      </c>
    </row>
    <row r="79" spans="1:20" s="655" customFormat="1" ht="15.95" customHeight="1" x14ac:dyDescent="0.25">
      <c r="A79" s="654"/>
      <c r="B79" s="1063" t="s">
        <v>43</v>
      </c>
      <c r="C79" s="1064"/>
      <c r="D79" s="1064"/>
      <c r="E79" s="1064"/>
      <c r="F79" s="1064"/>
      <c r="G79" s="1064"/>
      <c r="H79" s="1064"/>
      <c r="I79" s="1064"/>
      <c r="J79" s="1064"/>
      <c r="K79" s="1064"/>
      <c r="L79" s="1064"/>
      <c r="M79" s="1064"/>
      <c r="N79" s="1064"/>
      <c r="O79" s="1064"/>
      <c r="P79" s="1064"/>
      <c r="Q79" s="1064"/>
      <c r="R79" s="1064"/>
      <c r="S79" s="1065"/>
    </row>
    <row r="80" spans="1:20" s="655" customFormat="1" ht="15.95" customHeight="1" x14ac:dyDescent="0.25">
      <c r="A80" s="654"/>
      <c r="B80" s="1066" t="s">
        <v>44</v>
      </c>
      <c r="C80" s="1067"/>
      <c r="D80" s="1067"/>
      <c r="E80" s="1067"/>
      <c r="F80" s="1067"/>
      <c r="G80" s="1067"/>
      <c r="H80" s="1067"/>
      <c r="I80" s="1067"/>
      <c r="J80" s="1067"/>
      <c r="K80" s="1067"/>
      <c r="L80" s="1067"/>
      <c r="M80" s="1067"/>
      <c r="N80" s="1067"/>
      <c r="O80" s="1067"/>
      <c r="P80" s="1067"/>
      <c r="Q80" s="1067"/>
      <c r="R80" s="1067"/>
      <c r="S80" s="1068"/>
    </row>
    <row r="81" spans="1:19" ht="15" customHeight="1" x14ac:dyDescent="0.25">
      <c r="A81" s="516"/>
      <c r="B81" s="536" t="s">
        <v>311</v>
      </c>
      <c r="C81" s="909"/>
      <c r="D81" s="871"/>
      <c r="E81" s="686">
        <f>'FY 18'!E76</f>
        <v>259</v>
      </c>
      <c r="F81" s="935">
        <f>'FY 19'!G76</f>
        <v>322</v>
      </c>
      <c r="G81" s="887">
        <f>SUM(H81:S81)</f>
        <v>364</v>
      </c>
      <c r="H81" s="832">
        <v>46</v>
      </c>
      <c r="I81" s="833">
        <v>33</v>
      </c>
      <c r="J81" s="629">
        <v>34</v>
      </c>
      <c r="K81" s="561">
        <v>30</v>
      </c>
      <c r="L81" s="512">
        <v>34</v>
      </c>
      <c r="M81" s="512">
        <v>22</v>
      </c>
      <c r="N81" s="512">
        <v>37</v>
      </c>
      <c r="O81" s="512">
        <v>29</v>
      </c>
      <c r="P81" s="512">
        <v>26</v>
      </c>
      <c r="Q81" s="512">
        <v>22</v>
      </c>
      <c r="R81" s="512">
        <v>24</v>
      </c>
      <c r="S81" s="513">
        <v>27</v>
      </c>
    </row>
    <row r="82" spans="1:19" ht="15" customHeight="1" x14ac:dyDescent="0.25">
      <c r="A82" s="516"/>
      <c r="B82" s="534" t="s">
        <v>312</v>
      </c>
      <c r="C82" s="911"/>
      <c r="D82" s="873" t="s">
        <v>384</v>
      </c>
      <c r="E82" s="686">
        <f>'FY 18'!E77</f>
        <v>14</v>
      </c>
      <c r="F82" s="935">
        <f>'FY 19'!G77</f>
        <v>1.7272727272727273</v>
      </c>
      <c r="G82" s="888">
        <f>AVERAGE(H82:S82)</f>
        <v>3.0833333333333335</v>
      </c>
      <c r="H82" s="519">
        <v>0</v>
      </c>
      <c r="I82" s="512">
        <v>1</v>
      </c>
      <c r="J82" s="520">
        <v>5</v>
      </c>
      <c r="K82" s="807">
        <v>3</v>
      </c>
      <c r="L82" s="520">
        <v>1</v>
      </c>
      <c r="M82" s="520">
        <v>3</v>
      </c>
      <c r="N82" s="520">
        <v>3</v>
      </c>
      <c r="O82" s="520">
        <v>5</v>
      </c>
      <c r="P82" s="520">
        <v>2</v>
      </c>
      <c r="Q82" s="520">
        <v>4</v>
      </c>
      <c r="R82" s="520">
        <v>7</v>
      </c>
      <c r="S82" s="521">
        <v>3</v>
      </c>
    </row>
    <row r="83" spans="1:19" ht="15" customHeight="1" x14ac:dyDescent="0.25">
      <c r="A83" s="516"/>
      <c r="B83" s="534" t="s">
        <v>269</v>
      </c>
      <c r="C83" s="911"/>
      <c r="D83" s="873" t="s">
        <v>384</v>
      </c>
      <c r="E83" s="686">
        <f>'FY 18'!E78</f>
        <v>817</v>
      </c>
      <c r="F83" s="935">
        <f>'FY 19'!G78</f>
        <v>90.583333333333329</v>
      </c>
      <c r="G83" s="889">
        <f>AVERAGE(H83:S83)</f>
        <v>71.25</v>
      </c>
      <c r="H83" s="533">
        <v>109</v>
      </c>
      <c r="I83" s="533">
        <v>83</v>
      </c>
      <c r="J83" s="533">
        <v>80</v>
      </c>
      <c r="K83" s="858">
        <v>64</v>
      </c>
      <c r="L83" s="533">
        <v>67</v>
      </c>
      <c r="M83" s="533">
        <v>68</v>
      </c>
      <c r="N83" s="533">
        <v>80</v>
      </c>
      <c r="O83" s="533">
        <v>65</v>
      </c>
      <c r="P83" s="533">
        <v>64</v>
      </c>
      <c r="Q83" s="533">
        <v>60</v>
      </c>
      <c r="R83" s="858">
        <v>54</v>
      </c>
      <c r="S83" s="539">
        <v>61</v>
      </c>
    </row>
    <row r="84" spans="1:19" ht="15" customHeight="1" x14ac:dyDescent="0.25">
      <c r="A84" s="516"/>
      <c r="B84" s="762" t="s">
        <v>313</v>
      </c>
      <c r="C84" s="907"/>
      <c r="E84" s="726">
        <v>0</v>
      </c>
      <c r="F84" s="935">
        <f>'FY 19'!G79</f>
        <v>20</v>
      </c>
      <c r="G84" s="728">
        <f>SUM(H84:S84)</f>
        <v>71</v>
      </c>
      <c r="H84" s="533">
        <v>0</v>
      </c>
      <c r="I84" s="533">
        <v>4</v>
      </c>
      <c r="J84" s="533">
        <v>5</v>
      </c>
      <c r="K84" s="858">
        <v>3</v>
      </c>
      <c r="L84" s="533">
        <v>3</v>
      </c>
      <c r="M84" s="533">
        <v>3</v>
      </c>
      <c r="N84" s="533">
        <v>6</v>
      </c>
      <c r="O84" s="533">
        <v>8</v>
      </c>
      <c r="P84" s="533">
        <v>2</v>
      </c>
      <c r="Q84" s="533">
        <v>2</v>
      </c>
      <c r="R84" s="533">
        <v>15</v>
      </c>
      <c r="S84" s="532">
        <v>20</v>
      </c>
    </row>
    <row r="85" spans="1:19" ht="15" customHeight="1" x14ac:dyDescent="0.25">
      <c r="A85" s="516"/>
      <c r="B85" s="761" t="s">
        <v>314</v>
      </c>
      <c r="C85" s="907"/>
      <c r="E85" s="729">
        <v>0</v>
      </c>
      <c r="F85" s="935">
        <f>'FY 19'!G80</f>
        <v>27</v>
      </c>
      <c r="G85" s="730">
        <f>SUM(H85:S85)</f>
        <v>159</v>
      </c>
      <c r="H85" s="533">
        <v>2</v>
      </c>
      <c r="I85" s="533">
        <v>3</v>
      </c>
      <c r="J85" s="533">
        <v>1</v>
      </c>
      <c r="K85" s="858">
        <v>2</v>
      </c>
      <c r="L85" s="533">
        <v>20</v>
      </c>
      <c r="M85" s="533">
        <v>22</v>
      </c>
      <c r="N85" s="533">
        <v>27</v>
      </c>
      <c r="O85" s="533">
        <v>26</v>
      </c>
      <c r="P85" s="533">
        <v>25</v>
      </c>
      <c r="Q85" s="533">
        <v>28</v>
      </c>
      <c r="R85" s="533">
        <v>2</v>
      </c>
      <c r="S85" s="560">
        <v>1</v>
      </c>
    </row>
    <row r="86" spans="1:19" s="655" customFormat="1" ht="15.95" customHeight="1" x14ac:dyDescent="0.25">
      <c r="A86" s="654"/>
      <c r="B86" s="1051" t="s">
        <v>50</v>
      </c>
      <c r="C86" s="1052"/>
      <c r="D86" s="1052"/>
      <c r="E86" s="1052"/>
      <c r="F86" s="1052"/>
      <c r="G86" s="1052"/>
      <c r="H86" s="1052"/>
      <c r="I86" s="1052"/>
      <c r="J86" s="1052"/>
      <c r="K86" s="1052"/>
      <c r="L86" s="1052"/>
      <c r="M86" s="1052"/>
      <c r="N86" s="1052"/>
      <c r="O86" s="1052"/>
      <c r="P86" s="1052"/>
      <c r="Q86" s="1052"/>
      <c r="R86" s="1052"/>
      <c r="S86" s="1053"/>
    </row>
    <row r="87" spans="1:19" ht="15" customHeight="1" x14ac:dyDescent="0.25">
      <c r="A87" s="516"/>
      <c r="B87" s="536" t="s">
        <v>369</v>
      </c>
      <c r="C87" s="909"/>
      <c r="D87" s="871" t="s">
        <v>384</v>
      </c>
      <c r="E87" s="686">
        <f>'FY 18'!E82</f>
        <v>1088</v>
      </c>
      <c r="F87" s="936">
        <f>'FY 19'!G82</f>
        <v>103.75</v>
      </c>
      <c r="G87" s="890">
        <f>AVERAGEIF(H87:S87,"&lt;&gt;0")</f>
        <v>109.91666666666667</v>
      </c>
      <c r="H87" s="832">
        <v>107</v>
      </c>
      <c r="I87" s="844">
        <v>107</v>
      </c>
      <c r="J87" s="846">
        <v>107</v>
      </c>
      <c r="K87" s="561">
        <v>110</v>
      </c>
      <c r="L87" s="561">
        <v>112</v>
      </c>
      <c r="M87" s="561">
        <v>111</v>
      </c>
      <c r="N87" s="561">
        <v>112</v>
      </c>
      <c r="O87" s="561">
        <v>112</v>
      </c>
      <c r="P87" s="561">
        <v>112</v>
      </c>
      <c r="Q87" s="561">
        <v>112</v>
      </c>
      <c r="R87" s="561">
        <v>110</v>
      </c>
      <c r="S87" s="527">
        <v>107</v>
      </c>
    </row>
    <row r="88" spans="1:19" ht="15" customHeight="1" x14ac:dyDescent="0.25">
      <c r="A88" s="516"/>
      <c r="B88" s="762" t="s">
        <v>270</v>
      </c>
      <c r="C88" s="907"/>
      <c r="E88" s="686">
        <f>'FY 18'!E83</f>
        <v>17</v>
      </c>
      <c r="F88" s="936">
        <f>'FY 19'!G83</f>
        <v>35</v>
      </c>
      <c r="G88" s="728">
        <f>SUM(H88:S88)</f>
        <v>12</v>
      </c>
      <c r="H88" s="511">
        <v>3</v>
      </c>
      <c r="I88" s="531">
        <v>0</v>
      </c>
      <c r="J88" s="505">
        <v>2</v>
      </c>
      <c r="K88" s="505">
        <v>3</v>
      </c>
      <c r="L88" s="505">
        <v>3</v>
      </c>
      <c r="M88" s="505">
        <v>0</v>
      </c>
      <c r="N88" s="505">
        <v>1</v>
      </c>
      <c r="O88" s="505">
        <v>0</v>
      </c>
      <c r="P88" s="505">
        <v>0</v>
      </c>
      <c r="Q88" s="505">
        <v>0</v>
      </c>
      <c r="R88" s="505">
        <v>0</v>
      </c>
      <c r="S88" s="527">
        <v>0</v>
      </c>
    </row>
    <row r="89" spans="1:19" ht="15" customHeight="1" x14ac:dyDescent="0.25">
      <c r="A89" s="516"/>
      <c r="B89" s="761" t="s">
        <v>271</v>
      </c>
      <c r="C89" s="907"/>
      <c r="D89" s="877"/>
      <c r="E89" s="686">
        <f>'FY 18'!E84</f>
        <v>12</v>
      </c>
      <c r="F89" s="936">
        <f>'FY 19'!G84</f>
        <v>25</v>
      </c>
      <c r="G89" s="730">
        <f>SUM(H89:S89)</f>
        <v>9</v>
      </c>
      <c r="H89" s="511">
        <v>0</v>
      </c>
      <c r="I89" s="533">
        <v>0</v>
      </c>
      <c r="J89" s="533">
        <v>2</v>
      </c>
      <c r="K89" s="533">
        <v>0</v>
      </c>
      <c r="L89" s="533">
        <v>1</v>
      </c>
      <c r="M89" s="533">
        <v>1</v>
      </c>
      <c r="N89" s="533">
        <v>0</v>
      </c>
      <c r="O89" s="533">
        <v>0</v>
      </c>
      <c r="P89" s="533">
        <v>0</v>
      </c>
      <c r="Q89" s="533">
        <v>0</v>
      </c>
      <c r="R89" s="533">
        <v>2</v>
      </c>
      <c r="S89" s="527">
        <v>3</v>
      </c>
    </row>
    <row r="90" spans="1:19" s="655" customFormat="1" ht="15.95" customHeight="1" x14ac:dyDescent="0.25">
      <c r="A90" s="654"/>
      <c r="B90" s="1051" t="s">
        <v>52</v>
      </c>
      <c r="C90" s="1052"/>
      <c r="D90" s="1052"/>
      <c r="E90" s="1052"/>
      <c r="F90" s="1052"/>
      <c r="G90" s="1052"/>
      <c r="H90" s="1052"/>
      <c r="I90" s="1052"/>
      <c r="J90" s="1052"/>
      <c r="K90" s="1052"/>
      <c r="L90" s="1052"/>
      <c r="M90" s="1052"/>
      <c r="N90" s="1052"/>
      <c r="O90" s="1052"/>
      <c r="P90" s="1052"/>
      <c r="Q90" s="1052"/>
      <c r="R90" s="1052"/>
      <c r="S90" s="1053"/>
    </row>
    <row r="91" spans="1:19" ht="15" customHeight="1" x14ac:dyDescent="0.25">
      <c r="A91" s="516"/>
      <c r="B91" s="536" t="s">
        <v>316</v>
      </c>
      <c r="D91" s="875" t="s">
        <v>384</v>
      </c>
      <c r="E91" s="937">
        <f>'FY 18'!E86/11</f>
        <v>144.45454545454547</v>
      </c>
      <c r="F91" s="935">
        <f>'FY 19'!G86</f>
        <v>180.08333333333334</v>
      </c>
      <c r="G91" s="890">
        <f>AVERAGEIF(H91:S91,"&lt;&gt;0")</f>
        <v>125.58333333333333</v>
      </c>
      <c r="H91" s="511">
        <v>130</v>
      </c>
      <c r="I91" s="845">
        <v>129</v>
      </c>
      <c r="J91" s="561">
        <v>123</v>
      </c>
      <c r="K91" s="561">
        <v>123</v>
      </c>
      <c r="L91" s="561">
        <v>122</v>
      </c>
      <c r="M91" s="561">
        <v>122</v>
      </c>
      <c r="N91" s="561">
        <v>121</v>
      </c>
      <c r="O91" s="561">
        <v>126</v>
      </c>
      <c r="P91" s="561">
        <v>127</v>
      </c>
      <c r="Q91" s="561">
        <v>129</v>
      </c>
      <c r="R91" s="561">
        <v>128</v>
      </c>
      <c r="S91" s="527">
        <v>127</v>
      </c>
    </row>
    <row r="92" spans="1:19" ht="15" hidden="1" customHeight="1" x14ac:dyDescent="0.25">
      <c r="A92" s="516"/>
      <c r="B92" s="762" t="s">
        <v>270</v>
      </c>
      <c r="C92" s="907"/>
      <c r="E92" s="726">
        <v>0</v>
      </c>
      <c r="F92" s="727">
        <v>0</v>
      </c>
      <c r="G92" s="728">
        <f t="shared" ref="G92:G97" si="5">SUM(H92:S92)</f>
        <v>0</v>
      </c>
      <c r="H92" s="511"/>
      <c r="I92" s="822"/>
      <c r="J92" s="561"/>
      <c r="K92" s="561"/>
      <c r="L92" s="561"/>
      <c r="M92" s="561"/>
      <c r="N92" s="561"/>
      <c r="O92" s="561"/>
      <c r="P92" s="561"/>
      <c r="Q92" s="561"/>
      <c r="R92" s="561"/>
      <c r="S92" s="527"/>
    </row>
    <row r="93" spans="1:19" ht="15" hidden="1" customHeight="1" x14ac:dyDescent="0.25">
      <c r="A93" s="516"/>
      <c r="B93" s="762" t="s">
        <v>271</v>
      </c>
      <c r="C93" s="907"/>
      <c r="E93" s="724">
        <v>0</v>
      </c>
      <c r="F93" s="725">
        <v>0</v>
      </c>
      <c r="G93" s="731">
        <f t="shared" si="5"/>
        <v>0</v>
      </c>
      <c r="H93" s="511"/>
      <c r="I93" s="561"/>
      <c r="J93" s="561"/>
      <c r="K93" s="561"/>
      <c r="L93" s="561"/>
      <c r="M93" s="561"/>
      <c r="N93" s="561"/>
      <c r="O93" s="561"/>
      <c r="P93" s="561"/>
      <c r="Q93" s="561"/>
      <c r="R93" s="561"/>
      <c r="S93" s="527"/>
    </row>
    <row r="94" spans="1:19" ht="15" customHeight="1" x14ac:dyDescent="0.25">
      <c r="A94" s="516"/>
      <c r="B94" s="534" t="s">
        <v>272</v>
      </c>
      <c r="E94" s="729">
        <v>0</v>
      </c>
      <c r="F94" s="732">
        <v>106142.25</v>
      </c>
      <c r="G94" s="730">
        <f t="shared" si="5"/>
        <v>90358</v>
      </c>
      <c r="H94" s="895">
        <v>9873.5</v>
      </c>
      <c r="I94" s="896">
        <v>9852.75</v>
      </c>
      <c r="J94" s="896">
        <v>9245</v>
      </c>
      <c r="K94" s="896">
        <v>9861</v>
      </c>
      <c r="L94" s="896">
        <v>9002.75</v>
      </c>
      <c r="M94" s="896">
        <v>9226</v>
      </c>
      <c r="N94" s="512">
        <v>9513</v>
      </c>
      <c r="O94" s="512">
        <v>8077</v>
      </c>
      <c r="P94" s="512">
        <v>8167.5</v>
      </c>
      <c r="Q94" s="512">
        <v>7539.5</v>
      </c>
      <c r="R94" s="512"/>
      <c r="S94" s="527"/>
    </row>
    <row r="95" spans="1:19" ht="15" customHeight="1" x14ac:dyDescent="0.25">
      <c r="A95" s="516"/>
      <c r="B95" s="534" t="s">
        <v>317</v>
      </c>
      <c r="D95" s="875" t="s">
        <v>384</v>
      </c>
      <c r="E95" s="937">
        <f>'FY 18'!E90/12</f>
        <v>143.58333333333334</v>
      </c>
      <c r="F95" s="935">
        <f>'FY 19'!G90</f>
        <v>180.08333333333334</v>
      </c>
      <c r="G95" s="890">
        <f>AVERAGEIF(H95:S95,"&lt;&gt;0")</f>
        <v>186</v>
      </c>
      <c r="H95" s="832">
        <v>180</v>
      </c>
      <c r="I95" s="847">
        <v>180</v>
      </c>
      <c r="J95" s="846">
        <v>180</v>
      </c>
      <c r="K95" s="561">
        <v>180</v>
      </c>
      <c r="L95" s="561">
        <v>190</v>
      </c>
      <c r="M95" s="561">
        <v>190</v>
      </c>
      <c r="N95" s="561">
        <v>190</v>
      </c>
      <c r="O95" s="561">
        <v>190</v>
      </c>
      <c r="P95" s="561"/>
      <c r="Q95" s="561"/>
      <c r="R95" s="561">
        <v>190</v>
      </c>
      <c r="S95" s="527">
        <v>190</v>
      </c>
    </row>
    <row r="96" spans="1:19" ht="15" customHeight="1" x14ac:dyDescent="0.25">
      <c r="A96" s="516"/>
      <c r="B96" s="762" t="s">
        <v>270</v>
      </c>
      <c r="C96" s="907"/>
      <c r="E96" s="726">
        <v>0</v>
      </c>
      <c r="F96" s="727">
        <v>19</v>
      </c>
      <c r="G96" s="728">
        <f t="shared" si="5"/>
        <v>19</v>
      </c>
      <c r="H96" s="511">
        <v>0</v>
      </c>
      <c r="I96" s="561">
        <v>0</v>
      </c>
      <c r="J96" s="561">
        <v>0</v>
      </c>
      <c r="K96" s="561">
        <v>1</v>
      </c>
      <c r="L96" s="561">
        <v>0</v>
      </c>
      <c r="M96" s="561">
        <v>1</v>
      </c>
      <c r="N96" s="561">
        <v>10</v>
      </c>
      <c r="O96" s="561">
        <v>6</v>
      </c>
      <c r="P96" s="561"/>
      <c r="Q96" s="561"/>
      <c r="R96" s="561">
        <v>0</v>
      </c>
      <c r="S96" s="527">
        <v>1</v>
      </c>
    </row>
    <row r="97" spans="1:19" ht="15" customHeight="1" x14ac:dyDescent="0.25">
      <c r="A97" s="516"/>
      <c r="B97" s="761" t="s">
        <v>271</v>
      </c>
      <c r="C97" s="907"/>
      <c r="E97" s="729">
        <v>0</v>
      </c>
      <c r="F97" s="732">
        <v>11</v>
      </c>
      <c r="G97" s="730">
        <f t="shared" si="5"/>
        <v>13</v>
      </c>
      <c r="H97" s="511">
        <v>0</v>
      </c>
      <c r="I97" s="561">
        <v>1</v>
      </c>
      <c r="J97" s="561">
        <v>6</v>
      </c>
      <c r="K97" s="561">
        <v>1</v>
      </c>
      <c r="L97" s="561">
        <v>1</v>
      </c>
      <c r="M97" s="561">
        <v>0</v>
      </c>
      <c r="N97" s="561">
        <v>1</v>
      </c>
      <c r="O97" s="561">
        <v>1</v>
      </c>
      <c r="P97" s="561"/>
      <c r="Q97" s="561"/>
      <c r="R97" s="561">
        <v>1</v>
      </c>
      <c r="S97" s="527">
        <v>1</v>
      </c>
    </row>
    <row r="98" spans="1:19" ht="15" customHeight="1" x14ac:dyDescent="0.25">
      <c r="A98" s="516"/>
      <c r="B98" s="534" t="s">
        <v>315</v>
      </c>
      <c r="D98" s="875" t="s">
        <v>384</v>
      </c>
      <c r="E98" s="687">
        <f>'FY 19'!F93</f>
        <v>136</v>
      </c>
      <c r="F98" s="935">
        <f>'FY 19'!G93</f>
        <v>134.91666666666666</v>
      </c>
      <c r="G98" s="890">
        <f>AVERAGEIF(H98:S98,"&lt;&gt;0")</f>
        <v>148</v>
      </c>
      <c r="H98" s="832">
        <v>148</v>
      </c>
      <c r="I98" s="848">
        <v>148</v>
      </c>
      <c r="J98" s="846">
        <v>148</v>
      </c>
      <c r="K98" s="950" t="s">
        <v>402</v>
      </c>
      <c r="L98" s="950" t="s">
        <v>402</v>
      </c>
      <c r="M98" s="950" t="s">
        <v>402</v>
      </c>
      <c r="N98" s="950" t="s">
        <v>402</v>
      </c>
      <c r="O98" s="950" t="s">
        <v>402</v>
      </c>
      <c r="P98" s="950" t="s">
        <v>402</v>
      </c>
      <c r="Q98" s="950" t="s">
        <v>402</v>
      </c>
      <c r="R98" s="950" t="s">
        <v>402</v>
      </c>
      <c r="S98" s="527" t="s">
        <v>405</v>
      </c>
    </row>
    <row r="99" spans="1:19" s="750" customFormat="1" ht="15" hidden="1" customHeight="1" x14ac:dyDescent="0.25">
      <c r="A99" s="746"/>
      <c r="B99" s="522" t="s">
        <v>32</v>
      </c>
      <c r="D99" s="875"/>
      <c r="E99" s="792"/>
      <c r="F99" s="793"/>
      <c r="G99" s="794"/>
      <c r="H99" s="795">
        <v>1</v>
      </c>
      <c r="I99" s="796">
        <v>0</v>
      </c>
      <c r="J99" s="797"/>
      <c r="K99" s="796"/>
      <c r="L99" s="796"/>
      <c r="M99" s="796"/>
      <c r="N99" s="796"/>
      <c r="O99" s="796"/>
      <c r="P99" s="796"/>
      <c r="Q99" s="796"/>
      <c r="R99" s="796"/>
      <c r="S99" s="798"/>
    </row>
    <row r="100" spans="1:19" s="750" customFormat="1" ht="15" hidden="1" customHeight="1" x14ac:dyDescent="0.25">
      <c r="A100" s="746"/>
      <c r="B100" s="514" t="s">
        <v>33</v>
      </c>
      <c r="D100" s="875"/>
      <c r="E100" s="792"/>
      <c r="F100" s="793"/>
      <c r="G100" s="794"/>
      <c r="H100" s="799">
        <v>-2</v>
      </c>
      <c r="I100" s="800">
        <v>-1</v>
      </c>
      <c r="J100" s="801"/>
      <c r="K100" s="800"/>
      <c r="L100" s="800"/>
      <c r="M100" s="800"/>
      <c r="N100" s="800"/>
      <c r="O100" s="800"/>
      <c r="P100" s="800"/>
      <c r="Q100" s="800"/>
      <c r="R100" s="800"/>
      <c r="S100" s="802"/>
    </row>
    <row r="101" spans="1:19" s="655" customFormat="1" ht="15.95" customHeight="1" x14ac:dyDescent="0.25">
      <c r="A101" s="654"/>
      <c r="B101" s="1079" t="s">
        <v>383</v>
      </c>
      <c r="C101" s="1080"/>
      <c r="D101" s="1080"/>
      <c r="E101" s="1080"/>
      <c r="F101" s="1080"/>
      <c r="G101" s="1080"/>
      <c r="H101" s="1080"/>
      <c r="I101" s="1082"/>
      <c r="J101" s="1080"/>
      <c r="K101" s="1080"/>
      <c r="L101" s="1080"/>
      <c r="M101" s="1080"/>
      <c r="N101" s="1080"/>
      <c r="O101" s="1080"/>
      <c r="P101" s="1080"/>
      <c r="Q101" s="1080"/>
      <c r="R101" s="1080"/>
      <c r="S101" s="1081"/>
    </row>
    <row r="102" spans="1:19" ht="15" customHeight="1" x14ac:dyDescent="0.25">
      <c r="A102" s="516"/>
      <c r="B102" s="563" t="s">
        <v>318</v>
      </c>
      <c r="C102" s="912"/>
      <c r="D102" s="879"/>
      <c r="E102" s="686">
        <f>'FY 18'!E97</f>
        <v>4356</v>
      </c>
      <c r="F102" s="697">
        <f>'FY 19'!G97</f>
        <v>2219</v>
      </c>
      <c r="G102" s="529">
        <f>SUM(H102:S102)</f>
        <v>1358</v>
      </c>
      <c r="H102" s="507">
        <v>192</v>
      </c>
      <c r="I102" s="844">
        <v>199</v>
      </c>
      <c r="J102" s="629">
        <v>202</v>
      </c>
      <c r="K102" s="561">
        <v>192</v>
      </c>
      <c r="L102" s="561">
        <v>193</v>
      </c>
      <c r="M102" s="561">
        <v>188</v>
      </c>
      <c r="N102" s="512">
        <v>192</v>
      </c>
      <c r="O102" s="561"/>
      <c r="P102" s="512"/>
      <c r="Q102" s="512"/>
      <c r="R102" s="561" t="s">
        <v>397</v>
      </c>
      <c r="S102" s="532"/>
    </row>
    <row r="103" spans="1:19" ht="15" customHeight="1" x14ac:dyDescent="0.25">
      <c r="A103" s="516"/>
      <c r="B103" s="522" t="s">
        <v>319</v>
      </c>
      <c r="C103" s="903"/>
      <c r="D103" s="872"/>
      <c r="E103" s="562">
        <f>'FY 18'!E98</f>
        <v>2169</v>
      </c>
      <c r="F103" s="672">
        <f>'FY 19'!G98</f>
        <v>2418</v>
      </c>
      <c r="G103" s="530">
        <f>SUM(H103:S103)</f>
        <v>1317</v>
      </c>
      <c r="H103" s="841">
        <v>195</v>
      </c>
      <c r="I103" s="843">
        <v>188</v>
      </c>
      <c r="J103" s="630">
        <v>184</v>
      </c>
      <c r="K103" s="807">
        <v>189</v>
      </c>
      <c r="L103" s="807">
        <v>185</v>
      </c>
      <c r="M103" s="807">
        <v>183</v>
      </c>
      <c r="N103" s="520">
        <v>193</v>
      </c>
      <c r="O103" s="807"/>
      <c r="P103" s="520"/>
      <c r="Q103" s="520"/>
      <c r="R103" s="561" t="s">
        <v>397</v>
      </c>
      <c r="S103" s="532"/>
    </row>
    <row r="104" spans="1:19" ht="15" customHeight="1" x14ac:dyDescent="0.25">
      <c r="A104" s="516"/>
      <c r="B104" s="522" t="s">
        <v>320</v>
      </c>
      <c r="C104" s="750"/>
      <c r="E104" s="726">
        <v>0</v>
      </c>
      <c r="F104" s="727">
        <v>2487</v>
      </c>
      <c r="G104" s="733">
        <f>SUM(H104:S104)</f>
        <v>2918</v>
      </c>
      <c r="H104" s="841">
        <v>382</v>
      </c>
      <c r="I104" s="842">
        <v>389</v>
      </c>
      <c r="J104" s="630">
        <v>420</v>
      </c>
      <c r="K104" s="520">
        <v>432</v>
      </c>
      <c r="L104" s="807">
        <v>426</v>
      </c>
      <c r="M104" s="520">
        <v>432</v>
      </c>
      <c r="N104" s="520">
        <v>437</v>
      </c>
      <c r="O104" s="807"/>
      <c r="P104" s="520"/>
      <c r="Q104" s="520"/>
      <c r="R104" s="561" t="s">
        <v>397</v>
      </c>
      <c r="S104" s="532"/>
    </row>
    <row r="105" spans="1:19" ht="15" hidden="1" customHeight="1" x14ac:dyDescent="0.25">
      <c r="A105" s="516"/>
      <c r="B105" s="803" t="s">
        <v>32</v>
      </c>
      <c r="C105" s="913"/>
      <c r="E105" s="804"/>
      <c r="F105" s="805"/>
      <c r="G105" s="806"/>
      <c r="H105" s="519">
        <v>13</v>
      </c>
      <c r="I105" s="512"/>
      <c r="J105" s="520"/>
      <c r="K105" s="520"/>
      <c r="L105" s="520"/>
      <c r="M105" s="520"/>
      <c r="N105" s="520"/>
      <c r="O105" s="520"/>
      <c r="P105" s="520"/>
      <c r="Q105" s="520"/>
      <c r="R105" s="807"/>
      <c r="S105" s="532"/>
    </row>
    <row r="106" spans="1:19" ht="15" hidden="1" customHeight="1" x14ac:dyDescent="0.25">
      <c r="A106" s="516"/>
      <c r="B106" s="808" t="s">
        <v>33</v>
      </c>
      <c r="C106" s="913"/>
      <c r="E106" s="809"/>
      <c r="F106" s="810"/>
      <c r="G106" s="811"/>
      <c r="H106" s="524">
        <v>-208</v>
      </c>
      <c r="I106" s="525"/>
      <c r="J106" s="525"/>
      <c r="K106" s="525"/>
      <c r="L106" s="525"/>
      <c r="M106" s="525"/>
      <c r="N106" s="525"/>
      <c r="O106" s="525"/>
      <c r="P106" s="525"/>
      <c r="Q106" s="525"/>
      <c r="R106" s="812"/>
      <c r="S106" s="560"/>
    </row>
    <row r="107" spans="1:19" ht="15" hidden="1" customHeight="1" x14ac:dyDescent="0.25">
      <c r="A107" s="516"/>
      <c r="B107" s="1073" t="s">
        <v>163</v>
      </c>
      <c r="C107" s="1074"/>
      <c r="D107" s="1074"/>
      <c r="E107" s="1074"/>
      <c r="F107" s="1074"/>
      <c r="G107" s="1074"/>
      <c r="H107" s="1074"/>
      <c r="I107" s="1074"/>
      <c r="J107" s="1074"/>
      <c r="K107" s="1074"/>
      <c r="L107" s="1074"/>
      <c r="M107" s="1074"/>
      <c r="N107" s="1074"/>
      <c r="O107" s="1074"/>
      <c r="P107" s="1074"/>
      <c r="Q107" s="1074"/>
      <c r="R107" s="1074"/>
      <c r="S107" s="1075"/>
    </row>
    <row r="108" spans="1:19" ht="15" hidden="1" customHeight="1" x14ac:dyDescent="0.25">
      <c r="A108" s="516"/>
      <c r="B108" s="813" t="s">
        <v>164</v>
      </c>
      <c r="C108" s="750"/>
      <c r="E108" s="804"/>
      <c r="F108" s="805"/>
      <c r="G108" s="814">
        <v>17</v>
      </c>
      <c r="H108" s="629">
        <v>17</v>
      </c>
      <c r="I108" s="512"/>
      <c r="J108" s="512"/>
      <c r="K108" s="512"/>
      <c r="L108" s="512"/>
      <c r="M108" s="512"/>
      <c r="N108" s="512"/>
      <c r="O108" s="512"/>
      <c r="P108" s="512"/>
      <c r="Q108" s="512"/>
      <c r="R108" s="561"/>
      <c r="S108" s="532"/>
    </row>
    <row r="109" spans="1:19" ht="15" hidden="1" customHeight="1" x14ac:dyDescent="0.25">
      <c r="A109" s="516"/>
      <c r="B109" s="815" t="s">
        <v>165</v>
      </c>
      <c r="C109" s="914"/>
      <c r="D109" s="880"/>
      <c r="E109" s="809"/>
      <c r="F109" s="810"/>
      <c r="G109" s="816">
        <v>23</v>
      </c>
      <c r="H109" s="817">
        <v>23</v>
      </c>
      <c r="I109" s="818"/>
      <c r="J109" s="818"/>
      <c r="K109" s="818"/>
      <c r="L109" s="818"/>
      <c r="M109" s="818"/>
      <c r="N109" s="818"/>
      <c r="O109" s="818"/>
      <c r="P109" s="818"/>
      <c r="Q109" s="818"/>
      <c r="R109" s="819"/>
      <c r="S109" s="820"/>
    </row>
    <row r="110" spans="1:19" s="655" customFormat="1" ht="15.95" customHeight="1" x14ac:dyDescent="0.25">
      <c r="A110" s="654"/>
      <c r="B110" s="1051" t="s">
        <v>59</v>
      </c>
      <c r="C110" s="1052"/>
      <c r="D110" s="1052"/>
      <c r="E110" s="1052"/>
      <c r="F110" s="1052"/>
      <c r="G110" s="1052"/>
      <c r="H110" s="1052"/>
      <c r="I110" s="1052"/>
      <c r="J110" s="1052"/>
      <c r="K110" s="1052"/>
      <c r="L110" s="1052"/>
      <c r="M110" s="1052"/>
      <c r="N110" s="1052"/>
      <c r="O110" s="1052"/>
      <c r="P110" s="1052"/>
      <c r="Q110" s="1052"/>
      <c r="R110" s="1052"/>
      <c r="S110" s="1053"/>
    </row>
    <row r="111" spans="1:19" s="750" customFormat="1" ht="15" customHeight="1" x14ac:dyDescent="0.25">
      <c r="A111" s="746"/>
      <c r="B111" s="509" t="s">
        <v>321</v>
      </c>
      <c r="C111" s="902"/>
      <c r="D111" s="871"/>
      <c r="E111" s="706">
        <f>'FY 18'!E106</f>
        <v>9245</v>
      </c>
      <c r="F111" s="707">
        <f>'FY 19'!G106</f>
        <v>8862</v>
      </c>
      <c r="G111" s="510">
        <f t="shared" ref="G111:G119" si="6">SUM(H111:S111)</f>
        <v>4505</v>
      </c>
      <c r="H111" s="747">
        <v>610</v>
      </c>
      <c r="I111" s="748">
        <f>SUM(I112:I119)</f>
        <v>596</v>
      </c>
      <c r="J111" s="748">
        <f>SUM(J112:J119)</f>
        <v>556</v>
      </c>
      <c r="K111" s="748">
        <f>SUM(K112:K119)</f>
        <v>595</v>
      </c>
      <c r="L111" s="748">
        <f>SUM(L112:L119)</f>
        <v>523</v>
      </c>
      <c r="M111" s="748">
        <v>573</v>
      </c>
      <c r="N111" s="748">
        <f>SUM(N112:N119)</f>
        <v>795</v>
      </c>
      <c r="O111" s="748"/>
      <c r="P111" s="748"/>
      <c r="Q111" s="748"/>
      <c r="R111" s="748">
        <v>110</v>
      </c>
      <c r="S111" s="749">
        <v>147</v>
      </c>
    </row>
    <row r="112" spans="1:19" s="750" customFormat="1" ht="15" customHeight="1" x14ac:dyDescent="0.25">
      <c r="A112" s="746"/>
      <c r="B112" s="762" t="s">
        <v>322</v>
      </c>
      <c r="C112" s="910"/>
      <c r="D112" s="873"/>
      <c r="E112" s="706">
        <f>'FY 18'!E107</f>
        <v>5595</v>
      </c>
      <c r="F112" s="707">
        <f>'FY 19'!G107</f>
        <v>5848</v>
      </c>
      <c r="G112" s="523">
        <f t="shared" si="6"/>
        <v>2809</v>
      </c>
      <c r="H112" s="747">
        <v>377</v>
      </c>
      <c r="I112" s="748">
        <v>379</v>
      </c>
      <c r="J112" s="748">
        <v>368</v>
      </c>
      <c r="K112" s="748">
        <v>362</v>
      </c>
      <c r="L112" s="748">
        <v>323</v>
      </c>
      <c r="M112" s="748">
        <v>392</v>
      </c>
      <c r="N112" s="748">
        <f>471+86</f>
        <v>557</v>
      </c>
      <c r="O112" s="748"/>
      <c r="P112" s="748"/>
      <c r="Q112" s="748"/>
      <c r="R112" s="748">
        <v>20</v>
      </c>
      <c r="S112" s="749">
        <v>31</v>
      </c>
    </row>
    <row r="113" spans="1:19" s="750" customFormat="1" ht="15" customHeight="1" x14ac:dyDescent="0.25">
      <c r="A113" s="746"/>
      <c r="B113" s="762" t="s">
        <v>323</v>
      </c>
      <c r="C113" s="910"/>
      <c r="D113" s="873"/>
      <c r="E113" s="706">
        <f>'FY 18'!E108</f>
        <v>421</v>
      </c>
      <c r="F113" s="707">
        <f>'FY 19'!G108</f>
        <v>347</v>
      </c>
      <c r="G113" s="523">
        <f>SUM(H113:S113)</f>
        <v>125</v>
      </c>
      <c r="H113" s="747">
        <v>20</v>
      </c>
      <c r="I113" s="748">
        <v>13</v>
      </c>
      <c r="J113" s="748">
        <v>15</v>
      </c>
      <c r="K113" s="748">
        <v>20</v>
      </c>
      <c r="L113" s="748">
        <v>13</v>
      </c>
      <c r="M113" s="748">
        <v>16</v>
      </c>
      <c r="N113" s="748">
        <v>19</v>
      </c>
      <c r="O113" s="748"/>
      <c r="P113" s="748"/>
      <c r="Q113" s="748"/>
      <c r="R113" s="748">
        <v>5</v>
      </c>
      <c r="S113" s="749">
        <v>4</v>
      </c>
    </row>
    <row r="114" spans="1:19" s="750" customFormat="1" ht="15" customHeight="1" x14ac:dyDescent="0.25">
      <c r="A114" s="746"/>
      <c r="B114" s="762" t="s">
        <v>324</v>
      </c>
      <c r="C114" s="910"/>
      <c r="D114" s="873"/>
      <c r="E114" s="706">
        <f>'FY 18'!E109</f>
        <v>94</v>
      </c>
      <c r="F114" s="707">
        <f>'FY 19'!G109</f>
        <v>10</v>
      </c>
      <c r="G114" s="523">
        <f t="shared" si="6"/>
        <v>18</v>
      </c>
      <c r="H114" s="947">
        <v>3</v>
      </c>
      <c r="I114" s="748">
        <v>1</v>
      </c>
      <c r="J114" s="748">
        <v>1</v>
      </c>
      <c r="K114" s="748">
        <v>3</v>
      </c>
      <c r="L114" s="748">
        <v>3</v>
      </c>
      <c r="M114" s="748">
        <v>0</v>
      </c>
      <c r="N114" s="748">
        <v>6</v>
      </c>
      <c r="O114" s="748"/>
      <c r="P114" s="748"/>
      <c r="Q114" s="748"/>
      <c r="R114" s="748">
        <v>0</v>
      </c>
      <c r="S114" s="749">
        <v>1</v>
      </c>
    </row>
    <row r="115" spans="1:19" s="750" customFormat="1" ht="15" customHeight="1" x14ac:dyDescent="0.25">
      <c r="A115" s="746"/>
      <c r="B115" s="762" t="s">
        <v>325</v>
      </c>
      <c r="C115" s="910"/>
      <c r="D115" s="873"/>
      <c r="E115" s="706">
        <f>'FY 18'!E110</f>
        <v>1855</v>
      </c>
      <c r="F115" s="707">
        <f>'FY 19'!G110</f>
        <v>1532</v>
      </c>
      <c r="G115" s="523">
        <f t="shared" si="6"/>
        <v>920</v>
      </c>
      <c r="H115" s="747">
        <v>125</v>
      </c>
      <c r="I115" s="748">
        <v>128</v>
      </c>
      <c r="J115" s="748">
        <v>111</v>
      </c>
      <c r="K115" s="748">
        <v>117</v>
      </c>
      <c r="L115" s="748">
        <v>95</v>
      </c>
      <c r="M115" s="748">
        <v>91</v>
      </c>
      <c r="N115" s="748">
        <v>95</v>
      </c>
      <c r="O115" s="748"/>
      <c r="P115" s="748"/>
      <c r="Q115" s="748"/>
      <c r="R115" s="748">
        <v>68</v>
      </c>
      <c r="S115" s="749">
        <v>90</v>
      </c>
    </row>
    <row r="116" spans="1:19" s="750" customFormat="1" ht="15" customHeight="1" x14ac:dyDescent="0.25">
      <c r="A116" s="746"/>
      <c r="B116" s="762" t="s">
        <v>326</v>
      </c>
      <c r="C116" s="910"/>
      <c r="D116" s="873"/>
      <c r="E116" s="706">
        <f>'FY 18'!E111</f>
        <v>1063</v>
      </c>
      <c r="F116" s="707">
        <f>'FY 19'!G111</f>
        <v>913</v>
      </c>
      <c r="G116" s="523">
        <f t="shared" si="6"/>
        <v>419</v>
      </c>
      <c r="H116" s="747">
        <v>61</v>
      </c>
      <c r="I116" s="748">
        <v>53</v>
      </c>
      <c r="J116" s="748">
        <v>46</v>
      </c>
      <c r="K116" s="748">
        <v>69</v>
      </c>
      <c r="L116" s="748">
        <v>50</v>
      </c>
      <c r="M116" s="748">
        <v>40</v>
      </c>
      <c r="N116" s="748">
        <v>91</v>
      </c>
      <c r="O116" s="748"/>
      <c r="P116" s="748"/>
      <c r="Q116" s="748"/>
      <c r="R116" s="748">
        <v>2</v>
      </c>
      <c r="S116" s="749">
        <v>7</v>
      </c>
    </row>
    <row r="117" spans="1:19" s="750" customFormat="1" ht="15" customHeight="1" x14ac:dyDescent="0.25">
      <c r="A117" s="746"/>
      <c r="B117" s="762" t="s">
        <v>327</v>
      </c>
      <c r="C117" s="910"/>
      <c r="D117" s="873"/>
      <c r="E117" s="706">
        <f>'FY 18'!E112</f>
        <v>120</v>
      </c>
      <c r="F117" s="707">
        <f>'FY 19'!G112</f>
        <v>94</v>
      </c>
      <c r="G117" s="523">
        <f t="shared" si="6"/>
        <v>71</v>
      </c>
      <c r="H117" s="747">
        <v>13</v>
      </c>
      <c r="I117" s="748">
        <v>8</v>
      </c>
      <c r="J117" s="748">
        <v>5</v>
      </c>
      <c r="K117" s="748">
        <v>9</v>
      </c>
      <c r="L117" s="748">
        <v>7</v>
      </c>
      <c r="M117" s="748">
        <v>8</v>
      </c>
      <c r="N117" s="748">
        <v>5</v>
      </c>
      <c r="O117" s="748"/>
      <c r="P117" s="748"/>
      <c r="Q117" s="748"/>
      <c r="R117" s="748">
        <v>8</v>
      </c>
      <c r="S117" s="749">
        <v>8</v>
      </c>
    </row>
    <row r="118" spans="1:19" s="750" customFormat="1" ht="15" customHeight="1" x14ac:dyDescent="0.25">
      <c r="A118" s="746"/>
      <c r="B118" s="760" t="s">
        <v>328</v>
      </c>
      <c r="C118" s="905"/>
      <c r="D118" s="874"/>
      <c r="E118" s="706">
        <f>'FY 18'!E113</f>
        <v>97</v>
      </c>
      <c r="F118" s="707">
        <f>'FY 19'!G113</f>
        <v>78</v>
      </c>
      <c r="G118" s="523">
        <f t="shared" si="6"/>
        <v>92</v>
      </c>
      <c r="H118" s="747">
        <v>2</v>
      </c>
      <c r="I118" s="748">
        <v>6</v>
      </c>
      <c r="J118" s="748">
        <v>2</v>
      </c>
      <c r="K118" s="748">
        <v>13</v>
      </c>
      <c r="L118" s="748">
        <v>26</v>
      </c>
      <c r="M118" s="748">
        <v>17</v>
      </c>
      <c r="N118" s="748">
        <v>19</v>
      </c>
      <c r="O118" s="748"/>
      <c r="P118" s="748"/>
      <c r="Q118" s="748"/>
      <c r="R118" s="748">
        <v>5</v>
      </c>
      <c r="S118" s="749">
        <v>2</v>
      </c>
    </row>
    <row r="119" spans="1:19" s="750" customFormat="1" ht="15" customHeight="1" x14ac:dyDescent="0.25">
      <c r="A119" s="746"/>
      <c r="B119" s="759" t="s">
        <v>329</v>
      </c>
      <c r="C119" s="915"/>
      <c r="D119" s="881"/>
      <c r="E119" s="706">
        <f>'FY 18'!E114</f>
        <v>170</v>
      </c>
      <c r="F119" s="707">
        <f>'FY 19'!G114</f>
        <v>141</v>
      </c>
      <c r="G119" s="542">
        <f t="shared" si="6"/>
        <v>51</v>
      </c>
      <c r="H119" s="747">
        <v>9</v>
      </c>
      <c r="I119" s="748">
        <v>8</v>
      </c>
      <c r="J119" s="748">
        <v>8</v>
      </c>
      <c r="K119" s="748">
        <v>2</v>
      </c>
      <c r="L119" s="748">
        <v>6</v>
      </c>
      <c r="M119" s="748">
        <v>9</v>
      </c>
      <c r="N119" s="748">
        <v>3</v>
      </c>
      <c r="O119" s="748"/>
      <c r="P119" s="748"/>
      <c r="Q119" s="748"/>
      <c r="R119" s="748">
        <v>2</v>
      </c>
      <c r="S119" s="749">
        <v>4</v>
      </c>
    </row>
    <row r="120" spans="1:19" s="655" customFormat="1" ht="15.95" customHeight="1" x14ac:dyDescent="0.25">
      <c r="A120" s="654"/>
      <c r="B120" s="1054" t="s">
        <v>265</v>
      </c>
      <c r="C120" s="1055"/>
      <c r="D120" s="1055"/>
      <c r="E120" s="1055"/>
      <c r="F120" s="1055"/>
      <c r="G120" s="1055"/>
      <c r="H120" s="1055"/>
      <c r="I120" s="1055"/>
      <c r="J120" s="1055"/>
      <c r="K120" s="1055"/>
      <c r="L120" s="1055"/>
      <c r="M120" s="1055"/>
      <c r="N120" s="1055"/>
      <c r="O120" s="1055"/>
      <c r="P120" s="1055"/>
      <c r="Q120" s="1055"/>
      <c r="R120" s="1055"/>
      <c r="S120" s="1056"/>
    </row>
    <row r="121" spans="1:19" s="655" customFormat="1" ht="15.95" customHeight="1" x14ac:dyDescent="0.25">
      <c r="A121" s="654"/>
      <c r="B121" s="1057" t="s">
        <v>73</v>
      </c>
      <c r="C121" s="1058"/>
      <c r="D121" s="1058"/>
      <c r="E121" s="1058"/>
      <c r="F121" s="1058"/>
      <c r="G121" s="1058"/>
      <c r="H121" s="1058"/>
      <c r="I121" s="1058"/>
      <c r="J121" s="1058"/>
      <c r="K121" s="1058"/>
      <c r="L121" s="1058"/>
      <c r="M121" s="1058"/>
      <c r="N121" s="1058"/>
      <c r="O121" s="1058"/>
      <c r="P121" s="1058"/>
      <c r="Q121" s="1058"/>
      <c r="R121" s="1058"/>
      <c r="S121" s="1059"/>
    </row>
    <row r="122" spans="1:19" ht="15" customHeight="1" x14ac:dyDescent="0.25">
      <c r="A122" s="516"/>
      <c r="B122" s="536" t="s">
        <v>388</v>
      </c>
      <c r="E122" s="940" t="s">
        <v>144</v>
      </c>
      <c r="F122" s="941" t="s">
        <v>144</v>
      </c>
      <c r="G122" s="932">
        <f>SUM(H122:S122)</f>
        <v>0</v>
      </c>
      <c r="H122" s="564" t="s">
        <v>397</v>
      </c>
      <c r="I122" s="564" t="s">
        <v>397</v>
      </c>
      <c r="J122" s="564" t="s">
        <v>397</v>
      </c>
      <c r="K122" s="564" t="s">
        <v>397</v>
      </c>
      <c r="L122" s="564" t="s">
        <v>397</v>
      </c>
      <c r="M122" s="564" t="s">
        <v>397</v>
      </c>
      <c r="N122" s="564" t="s">
        <v>397</v>
      </c>
      <c r="O122" s="565"/>
      <c r="P122" s="565"/>
      <c r="Q122" s="565"/>
      <c r="R122" s="565"/>
      <c r="S122" s="679"/>
    </row>
    <row r="123" spans="1:19" ht="0.75" hidden="1" customHeight="1" x14ac:dyDescent="0.25">
      <c r="A123" s="516"/>
      <c r="B123" s="762" t="s">
        <v>270</v>
      </c>
      <c r="C123" s="907"/>
      <c r="E123" s="942">
        <v>0</v>
      </c>
      <c r="F123" s="943">
        <v>0</v>
      </c>
      <c r="G123" s="715">
        <f t="shared" ref="G123:G124" si="7">SUM(H123:S123)</f>
        <v>0</v>
      </c>
      <c r="H123" s="564"/>
      <c r="I123" s="565"/>
      <c r="J123" s="565"/>
      <c r="K123" s="565"/>
      <c r="L123" s="565"/>
      <c r="M123" s="565"/>
      <c r="N123" s="565"/>
      <c r="O123" s="565"/>
      <c r="P123" s="565"/>
      <c r="Q123" s="565"/>
      <c r="R123" s="565"/>
      <c r="S123" s="567"/>
    </row>
    <row r="124" spans="1:19" ht="0.75" hidden="1" customHeight="1" x14ac:dyDescent="0.25">
      <c r="A124" s="516"/>
      <c r="B124" s="762" t="s">
        <v>273</v>
      </c>
      <c r="C124" s="907"/>
      <c r="E124" s="942">
        <v>0</v>
      </c>
      <c r="F124" s="943">
        <v>0</v>
      </c>
      <c r="G124" s="715">
        <f t="shared" si="7"/>
        <v>0</v>
      </c>
      <c r="H124" s="564"/>
      <c r="I124" s="565"/>
      <c r="J124" s="565"/>
      <c r="K124" s="565"/>
      <c r="L124" s="565"/>
      <c r="M124" s="565"/>
      <c r="N124" s="565"/>
      <c r="O124" s="565"/>
      <c r="P124" s="565"/>
      <c r="Q124" s="565"/>
      <c r="R124" s="565"/>
      <c r="S124" s="567"/>
    </row>
    <row r="125" spans="1:19" ht="15" customHeight="1" x14ac:dyDescent="0.25">
      <c r="A125" s="516"/>
      <c r="B125" s="522" t="s">
        <v>330</v>
      </c>
      <c r="C125" s="750"/>
      <c r="D125" s="921" t="s">
        <v>384</v>
      </c>
      <c r="E125" s="944">
        <f>'FY 18'!E120/12</f>
        <v>112.66666666666667</v>
      </c>
      <c r="F125" s="945">
        <f>'FY 19'!G120</f>
        <v>118</v>
      </c>
      <c r="G125" s="715">
        <f>AVERAGEIF(H125:S125,"&lt;&gt;0")</f>
        <v>126.57142857142857</v>
      </c>
      <c r="H125" s="564">
        <v>147</v>
      </c>
      <c r="I125" s="835">
        <v>135</v>
      </c>
      <c r="J125" s="565">
        <v>136</v>
      </c>
      <c r="K125" s="565">
        <v>110</v>
      </c>
      <c r="L125" s="565">
        <v>113</v>
      </c>
      <c r="M125" s="565">
        <v>118</v>
      </c>
      <c r="N125" s="565">
        <v>127</v>
      </c>
      <c r="O125" s="565"/>
      <c r="P125" s="565"/>
      <c r="Q125" s="565"/>
      <c r="R125" s="565"/>
      <c r="S125" s="567"/>
    </row>
    <row r="126" spans="1:19" ht="15" customHeight="1" x14ac:dyDescent="0.25">
      <c r="A126" s="516"/>
      <c r="B126" s="522" t="s">
        <v>331</v>
      </c>
      <c r="C126" s="750"/>
      <c r="D126" s="921" t="s">
        <v>384</v>
      </c>
      <c r="E126" s="944">
        <f>'FY 18'!E121/12</f>
        <v>49.75</v>
      </c>
      <c r="F126" s="945">
        <f>'FY 19'!G121</f>
        <v>42.363636363636367</v>
      </c>
      <c r="G126" s="715">
        <f t="shared" ref="G126:G128" si="8">AVERAGEIF(H126:S126,"&lt;&gt;0")</f>
        <v>37</v>
      </c>
      <c r="H126" s="564">
        <v>20</v>
      </c>
      <c r="I126" s="835">
        <v>41</v>
      </c>
      <c r="J126" s="565">
        <v>35</v>
      </c>
      <c r="K126" s="565">
        <v>43</v>
      </c>
      <c r="L126" s="565">
        <v>40</v>
      </c>
      <c r="M126" s="565">
        <v>40</v>
      </c>
      <c r="N126" s="565">
        <v>40</v>
      </c>
      <c r="O126" s="565"/>
      <c r="P126" s="565"/>
      <c r="Q126" s="565"/>
      <c r="R126" s="565"/>
      <c r="S126" s="567"/>
    </row>
    <row r="127" spans="1:19" ht="13.5" customHeight="1" x14ac:dyDescent="0.25">
      <c r="A127" s="516"/>
      <c r="B127" s="534" t="s">
        <v>332</v>
      </c>
      <c r="D127" s="921" t="s">
        <v>384</v>
      </c>
      <c r="E127" s="944">
        <f>'FY 18'!E122/12</f>
        <v>1252.75</v>
      </c>
      <c r="F127" s="945">
        <f>'FY 19'!G122</f>
        <v>672.63636363636363</v>
      </c>
      <c r="G127" s="715">
        <f t="shared" si="8"/>
        <v>1330.2857142857142</v>
      </c>
      <c r="H127" s="564">
        <v>1126</v>
      </c>
      <c r="I127" s="835">
        <v>1209</v>
      </c>
      <c r="J127" s="565">
        <v>1294</v>
      </c>
      <c r="K127" s="565">
        <v>1358</v>
      </c>
      <c r="L127" s="565">
        <v>1409</v>
      </c>
      <c r="M127" s="565">
        <v>1458</v>
      </c>
      <c r="N127" s="565">
        <v>1458</v>
      </c>
      <c r="O127" s="565"/>
      <c r="P127" s="565"/>
      <c r="Q127" s="565"/>
      <c r="R127" s="565"/>
      <c r="S127" s="567"/>
    </row>
    <row r="128" spans="1:19" ht="1.5" hidden="1" customHeight="1" x14ac:dyDescent="0.25">
      <c r="A128" s="516"/>
      <c r="B128" s="762" t="s">
        <v>270</v>
      </c>
      <c r="C128" s="907"/>
      <c r="E128" s="734">
        <v>0</v>
      </c>
      <c r="F128" s="735">
        <v>403</v>
      </c>
      <c r="G128" s="715">
        <f t="shared" si="8"/>
        <v>74.400000000000006</v>
      </c>
      <c r="H128" s="564">
        <v>130</v>
      </c>
      <c r="I128" s="835" t="s">
        <v>144</v>
      </c>
      <c r="J128" s="565">
        <v>73</v>
      </c>
      <c r="K128" s="565">
        <v>90</v>
      </c>
      <c r="L128" s="565">
        <v>30</v>
      </c>
      <c r="M128" s="565">
        <v>49</v>
      </c>
      <c r="N128" s="565">
        <v>0</v>
      </c>
      <c r="O128" s="565">
        <v>0</v>
      </c>
      <c r="P128" s="565">
        <v>0</v>
      </c>
      <c r="Q128" s="565">
        <v>0</v>
      </c>
      <c r="R128" s="565">
        <v>0</v>
      </c>
      <c r="S128" s="567">
        <v>0</v>
      </c>
    </row>
    <row r="129" spans="1:19" ht="2.25" hidden="1" customHeight="1" x14ac:dyDescent="0.25">
      <c r="A129" s="516"/>
      <c r="B129" s="761" t="s">
        <v>271</v>
      </c>
      <c r="C129" s="907"/>
      <c r="E129" s="734">
        <v>0</v>
      </c>
      <c r="F129" s="735">
        <v>2006</v>
      </c>
      <c r="G129" s="716">
        <f t="shared" ref="G129" si="9">SUM(H129:S129)</f>
        <v>0</v>
      </c>
      <c r="H129" s="564">
        <v>0</v>
      </c>
      <c r="I129" s="836" t="s">
        <v>144</v>
      </c>
      <c r="J129" s="568" t="s">
        <v>144</v>
      </c>
      <c r="K129" s="568" t="s">
        <v>144</v>
      </c>
      <c r="L129" s="568" t="s">
        <v>144</v>
      </c>
      <c r="M129" s="568" t="s">
        <v>144</v>
      </c>
      <c r="N129" s="568">
        <v>0</v>
      </c>
      <c r="O129" s="568">
        <v>0</v>
      </c>
      <c r="P129" s="568">
        <v>0</v>
      </c>
      <c r="Q129" s="568">
        <v>0</v>
      </c>
      <c r="R129" s="568">
        <v>0</v>
      </c>
      <c r="S129" s="567">
        <v>0</v>
      </c>
    </row>
    <row r="130" spans="1:19" s="655" customFormat="1" ht="15.95" customHeight="1" x14ac:dyDescent="0.25">
      <c r="A130" s="654"/>
      <c r="B130" s="1060" t="s">
        <v>336</v>
      </c>
      <c r="C130" s="1061"/>
      <c r="D130" s="1061"/>
      <c r="E130" s="1061"/>
      <c r="F130" s="1061"/>
      <c r="G130" s="1061"/>
      <c r="H130" s="1061"/>
      <c r="I130" s="1061"/>
      <c r="J130" s="1061"/>
      <c r="K130" s="1061"/>
      <c r="L130" s="1061"/>
      <c r="M130" s="1061"/>
      <c r="N130" s="1061"/>
      <c r="O130" s="1061"/>
      <c r="P130" s="1061"/>
      <c r="Q130" s="1061"/>
      <c r="R130" s="1061"/>
      <c r="S130" s="1062"/>
    </row>
    <row r="131" spans="1:19" ht="15" customHeight="1" x14ac:dyDescent="0.25">
      <c r="A131" s="516"/>
      <c r="B131" s="536" t="s">
        <v>390</v>
      </c>
      <c r="E131" s="736">
        <v>0</v>
      </c>
      <c r="F131" s="737">
        <v>222633</v>
      </c>
      <c r="G131" s="738">
        <f>SUM(H131:S131)</f>
        <v>135125</v>
      </c>
      <c r="H131" s="537">
        <v>16511</v>
      </c>
      <c r="I131" s="538">
        <v>16833</v>
      </c>
      <c r="J131" s="538">
        <v>16801</v>
      </c>
      <c r="K131" s="538">
        <v>16511</v>
      </c>
      <c r="L131" s="538">
        <v>16617</v>
      </c>
      <c r="M131" s="538">
        <v>16431</v>
      </c>
      <c r="N131" s="538">
        <v>16317</v>
      </c>
      <c r="O131" s="538"/>
      <c r="P131" s="538"/>
      <c r="Q131" s="538"/>
      <c r="R131" s="538"/>
      <c r="S131" s="569">
        <v>19104</v>
      </c>
    </row>
    <row r="132" spans="1:19" ht="15" customHeight="1" x14ac:dyDescent="0.25">
      <c r="A132" s="516"/>
      <c r="B132" s="534" t="s">
        <v>333</v>
      </c>
      <c r="E132" s="736">
        <v>0</v>
      </c>
      <c r="F132" s="737">
        <v>412422</v>
      </c>
      <c r="G132" s="738">
        <f>SUM(H132:S132)</f>
        <v>276915</v>
      </c>
      <c r="H132" s="540">
        <v>34229</v>
      </c>
      <c r="I132" s="541">
        <v>34835</v>
      </c>
      <c r="J132" s="541">
        <v>34708</v>
      </c>
      <c r="K132" s="541">
        <v>34229</v>
      </c>
      <c r="L132" s="541">
        <v>34174</v>
      </c>
      <c r="M132" s="541">
        <v>33647</v>
      </c>
      <c r="N132" s="538">
        <v>33235</v>
      </c>
      <c r="O132" s="541"/>
      <c r="P132" s="541"/>
      <c r="Q132" s="541"/>
      <c r="R132" s="541"/>
      <c r="S132" s="539">
        <v>37858</v>
      </c>
    </row>
    <row r="133" spans="1:19" ht="15" hidden="1" customHeight="1" x14ac:dyDescent="0.25">
      <c r="A133" s="516"/>
      <c r="B133" s="535" t="s">
        <v>334</v>
      </c>
      <c r="E133" s="736">
        <v>0</v>
      </c>
      <c r="F133" s="737">
        <v>0</v>
      </c>
      <c r="G133" s="738">
        <f>SUM(H133:S133)</f>
        <v>0</v>
      </c>
      <c r="H133" s="570"/>
      <c r="I133" s="558"/>
      <c r="J133" s="558"/>
      <c r="K133" s="558"/>
      <c r="L133" s="558"/>
      <c r="M133" s="558"/>
      <c r="N133" s="538"/>
      <c r="O133" s="558"/>
      <c r="P133" s="558"/>
      <c r="Q133" s="558"/>
      <c r="R133" s="558"/>
      <c r="S133" s="571"/>
    </row>
    <row r="134" spans="1:19" ht="15" customHeight="1" x14ac:dyDescent="0.25">
      <c r="A134" s="516"/>
      <c r="B134" s="535" t="s">
        <v>335</v>
      </c>
      <c r="E134" s="736">
        <v>0</v>
      </c>
      <c r="F134" s="737">
        <v>56104956.780000001</v>
      </c>
      <c r="G134" s="738">
        <f>SUM(H134:S134)</f>
        <v>34468310</v>
      </c>
      <c r="H134" s="572">
        <v>4086254</v>
      </c>
      <c r="I134" s="573">
        <v>4162016</v>
      </c>
      <c r="J134" s="573">
        <v>4179792</v>
      </c>
      <c r="K134" s="573">
        <v>4086254</v>
      </c>
      <c r="L134" s="573">
        <v>4102334</v>
      </c>
      <c r="M134" s="573">
        <v>3999268</v>
      </c>
      <c r="N134" s="538">
        <v>3899354</v>
      </c>
      <c r="O134" s="573"/>
      <c r="P134" s="573"/>
      <c r="Q134" s="573"/>
      <c r="R134" s="573"/>
      <c r="S134" s="575">
        <v>5953038</v>
      </c>
    </row>
    <row r="135" spans="1:19" s="655" customFormat="1" ht="15.95" customHeight="1" x14ac:dyDescent="0.25">
      <c r="A135" s="654"/>
      <c r="B135" s="1060" t="s">
        <v>385</v>
      </c>
      <c r="C135" s="1061"/>
      <c r="D135" s="1061"/>
      <c r="E135" s="1061"/>
      <c r="F135" s="1061"/>
      <c r="G135" s="1061"/>
      <c r="H135" s="1061"/>
      <c r="I135" s="1061"/>
      <c r="J135" s="1061"/>
      <c r="K135" s="1061"/>
      <c r="L135" s="1061"/>
      <c r="M135" s="1061"/>
      <c r="N135" s="1061"/>
      <c r="O135" s="1061"/>
      <c r="P135" s="1061"/>
      <c r="Q135" s="1061"/>
      <c r="R135" s="1061"/>
      <c r="S135" s="1062"/>
    </row>
    <row r="136" spans="1:19" ht="15" customHeight="1" x14ac:dyDescent="0.25">
      <c r="A136" s="516"/>
      <c r="B136" s="536" t="s">
        <v>386</v>
      </c>
      <c r="E136" s="724">
        <v>0</v>
      </c>
      <c r="F136" s="725">
        <v>559666</v>
      </c>
      <c r="G136" s="739">
        <f>SUM(H136:S136)</f>
        <v>372201</v>
      </c>
      <c r="H136" s="821">
        <v>41968</v>
      </c>
      <c r="I136" s="538">
        <v>43441</v>
      </c>
      <c r="J136" s="831">
        <v>45623</v>
      </c>
      <c r="K136" s="831">
        <v>47559</v>
      </c>
      <c r="L136" s="831">
        <v>47547</v>
      </c>
      <c r="M136" s="538">
        <v>47893</v>
      </c>
      <c r="N136" s="538">
        <v>48038</v>
      </c>
      <c r="O136" s="538"/>
      <c r="P136" s="538"/>
      <c r="Q136" s="538"/>
      <c r="R136" s="538"/>
      <c r="S136" s="513">
        <v>50132</v>
      </c>
    </row>
    <row r="137" spans="1:19" ht="15" hidden="1" customHeight="1" x14ac:dyDescent="0.25">
      <c r="A137" s="516"/>
      <c r="B137" s="534" t="s">
        <v>337</v>
      </c>
      <c r="E137" s="724">
        <v>0</v>
      </c>
      <c r="F137" s="725">
        <v>12670</v>
      </c>
      <c r="G137" s="739">
        <f>SUM(H137:S137)</f>
        <v>0</v>
      </c>
      <c r="H137" s="524"/>
      <c r="I137" s="525"/>
      <c r="J137" s="525"/>
      <c r="K137" s="525"/>
      <c r="L137" s="525"/>
      <c r="M137" s="525"/>
      <c r="N137" s="512"/>
      <c r="O137" s="525"/>
      <c r="P137" s="525"/>
      <c r="Q137" s="525"/>
      <c r="R137" s="525"/>
      <c r="S137" s="521"/>
    </row>
    <row r="138" spans="1:19" ht="15" customHeight="1" x14ac:dyDescent="0.25">
      <c r="A138" s="516"/>
      <c r="B138" s="535" t="s">
        <v>338</v>
      </c>
      <c r="E138" s="724">
        <v>0</v>
      </c>
      <c r="F138" s="725">
        <v>7734</v>
      </c>
      <c r="G138" s="739">
        <f>SUM(H138:S138)</f>
        <v>5157</v>
      </c>
      <c r="H138" s="524">
        <v>574</v>
      </c>
      <c r="I138" s="525">
        <v>625</v>
      </c>
      <c r="J138" s="525">
        <v>635</v>
      </c>
      <c r="K138" s="525">
        <v>644</v>
      </c>
      <c r="L138" s="525">
        <v>679</v>
      </c>
      <c r="M138" s="525">
        <v>677</v>
      </c>
      <c r="N138" s="512">
        <v>676</v>
      </c>
      <c r="O138" s="525"/>
      <c r="P138" s="525"/>
      <c r="Q138" s="525"/>
      <c r="R138" s="525"/>
      <c r="S138" s="526">
        <v>647</v>
      </c>
    </row>
    <row r="139" spans="1:19" ht="25.5" x14ac:dyDescent="0.25">
      <c r="A139" s="516"/>
      <c r="B139" s="900" t="s">
        <v>370</v>
      </c>
      <c r="C139" s="916"/>
      <c r="D139" s="876"/>
      <c r="E139" s="724">
        <v>0</v>
      </c>
      <c r="F139" s="725">
        <v>1.8613464253625978</v>
      </c>
      <c r="G139" s="739">
        <f>SUM(H139:S139)</f>
        <v>1.2099150977273894</v>
      </c>
      <c r="H139" s="849">
        <f>SUM(H136:H138)/T182</f>
        <v>0.13640152875391165</v>
      </c>
      <c r="I139" s="849">
        <f>SUM(I136:I138)/T182</f>
        <v>0.14128789821987381</v>
      </c>
      <c r="J139" s="849">
        <f>SUM(J136:J138)/T182</f>
        <v>0.1483160621761658</v>
      </c>
      <c r="K139" s="849">
        <f>SUM(K136:K138)/T182</f>
        <v>0.15455227517570411</v>
      </c>
      <c r="L139" s="849">
        <f>SUM(L136:L138)/T182</f>
        <v>0.15462601959677832</v>
      </c>
      <c r="M139" s="849">
        <f>SUM(M136:M138)/T182</f>
        <v>0.15572897963371465</v>
      </c>
      <c r="N139" s="849">
        <f>SUM(N136:N138)/T182</f>
        <v>0.15619068383522289</v>
      </c>
      <c r="O139" s="576"/>
      <c r="P139" s="576"/>
      <c r="Q139" s="576"/>
      <c r="R139" s="576"/>
      <c r="S139" s="577">
        <f>SUM(S136:S138)/T182</f>
        <v>0.16281165033601805</v>
      </c>
    </row>
    <row r="140" spans="1:19" ht="15" customHeight="1" x14ac:dyDescent="0.25">
      <c r="A140" s="516"/>
      <c r="B140" s="901" t="s">
        <v>339</v>
      </c>
      <c r="C140" s="916"/>
      <c r="D140" s="876"/>
      <c r="E140" s="724">
        <v>0</v>
      </c>
      <c r="F140" s="740">
        <v>3850262</v>
      </c>
      <c r="G140" s="739">
        <f>SUM(H140:S140)</f>
        <v>2277482</v>
      </c>
      <c r="H140" s="578">
        <v>268497</v>
      </c>
      <c r="I140" s="579">
        <v>274461</v>
      </c>
      <c r="J140" s="579">
        <v>291043</v>
      </c>
      <c r="K140" s="579">
        <v>298291</v>
      </c>
      <c r="L140" s="579">
        <v>306334</v>
      </c>
      <c r="M140" s="579">
        <v>288007</v>
      </c>
      <c r="N140" s="600">
        <v>285512</v>
      </c>
      <c r="O140" s="579"/>
      <c r="P140" s="579"/>
      <c r="Q140" s="579"/>
      <c r="R140" s="579"/>
      <c r="S140" s="580">
        <v>265337</v>
      </c>
    </row>
    <row r="141" spans="1:19" ht="15" customHeight="1" x14ac:dyDescent="0.25">
      <c r="A141" s="516"/>
      <c r="B141" s="901" t="s">
        <v>387</v>
      </c>
      <c r="C141" s="916"/>
      <c r="D141" s="876"/>
      <c r="E141" s="729"/>
      <c r="F141" s="732"/>
      <c r="G141" s="897"/>
      <c r="H141" s="899" t="s">
        <v>397</v>
      </c>
      <c r="I141" s="899" t="s">
        <v>397</v>
      </c>
      <c r="J141" s="899" t="s">
        <v>397</v>
      </c>
      <c r="K141" s="899" t="s">
        <v>397</v>
      </c>
      <c r="L141" s="899" t="s">
        <v>397</v>
      </c>
      <c r="M141" s="899" t="s">
        <v>397</v>
      </c>
      <c r="N141" s="899" t="s">
        <v>397</v>
      </c>
      <c r="O141" s="899" t="s">
        <v>397</v>
      </c>
      <c r="P141" s="899" t="s">
        <v>397</v>
      </c>
      <c r="Q141" s="899" t="s">
        <v>397</v>
      </c>
      <c r="R141" s="899" t="s">
        <v>397</v>
      </c>
      <c r="S141" s="899" t="s">
        <v>397</v>
      </c>
    </row>
    <row r="142" spans="1:19" s="655" customFormat="1" ht="15.75" customHeight="1" x14ac:dyDescent="0.25">
      <c r="A142" s="654"/>
      <c r="B142" s="1063" t="s">
        <v>88</v>
      </c>
      <c r="C142" s="1064"/>
      <c r="D142" s="1064"/>
      <c r="E142" s="1064"/>
      <c r="F142" s="1064"/>
      <c r="G142" s="1064"/>
      <c r="H142" s="1064"/>
      <c r="I142" s="1064"/>
      <c r="J142" s="1064"/>
      <c r="K142" s="1064"/>
      <c r="L142" s="1064"/>
      <c r="M142" s="1064"/>
      <c r="N142" s="1064"/>
      <c r="O142" s="1064"/>
      <c r="P142" s="1064"/>
      <c r="Q142" s="1064"/>
      <c r="R142" s="1064"/>
      <c r="S142" s="1065"/>
    </row>
    <row r="143" spans="1:19" s="655" customFormat="1" ht="15.95" customHeight="1" x14ac:dyDescent="0.25">
      <c r="A143" s="654"/>
      <c r="B143" s="1066" t="s">
        <v>87</v>
      </c>
      <c r="C143" s="1067"/>
      <c r="D143" s="1067"/>
      <c r="E143" s="1067"/>
      <c r="F143" s="1067"/>
      <c r="G143" s="1067"/>
      <c r="H143" s="1067"/>
      <c r="I143" s="1067"/>
      <c r="J143" s="1067"/>
      <c r="K143" s="1067"/>
      <c r="L143" s="1067"/>
      <c r="M143" s="1067"/>
      <c r="N143" s="1067"/>
      <c r="O143" s="1067"/>
      <c r="P143" s="1067"/>
      <c r="Q143" s="1067"/>
      <c r="R143" s="1067"/>
      <c r="S143" s="1068"/>
    </row>
    <row r="144" spans="1:19" ht="15" customHeight="1" x14ac:dyDescent="0.25">
      <c r="A144" s="516"/>
      <c r="B144" s="536" t="s">
        <v>395</v>
      </c>
      <c r="E144" s="724">
        <v>0</v>
      </c>
      <c r="F144" s="725">
        <v>4108</v>
      </c>
      <c r="G144" s="739">
        <f>SUM(H144:S144)</f>
        <v>2479</v>
      </c>
      <c r="H144" s="511">
        <v>246</v>
      </c>
      <c r="I144" s="561">
        <v>246</v>
      </c>
      <c r="J144" s="561">
        <v>261</v>
      </c>
      <c r="K144" s="561">
        <v>275</v>
      </c>
      <c r="L144" s="561">
        <f>SUM(L145:L146)</f>
        <v>258</v>
      </c>
      <c r="M144" s="561">
        <v>253</v>
      </c>
      <c r="N144" s="512">
        <f>SUM(N145:N146)</f>
        <v>255</v>
      </c>
      <c r="O144" s="561"/>
      <c r="P144" s="561"/>
      <c r="Q144" s="561">
        <v>228</v>
      </c>
      <c r="R144" s="561">
        <v>232</v>
      </c>
      <c r="S144" s="527">
        <v>225</v>
      </c>
    </row>
    <row r="145" spans="1:19" ht="15" customHeight="1" x14ac:dyDescent="0.25">
      <c r="A145" s="516"/>
      <c r="B145" s="762" t="s">
        <v>340</v>
      </c>
      <c r="C145" s="907"/>
      <c r="E145" s="724">
        <v>0</v>
      </c>
      <c r="F145" s="725">
        <v>3156</v>
      </c>
      <c r="G145" s="739">
        <f>SUM(H145:S145)</f>
        <v>2061</v>
      </c>
      <c r="H145" s="519">
        <v>199</v>
      </c>
      <c r="I145" s="520">
        <v>198</v>
      </c>
      <c r="J145" s="520">
        <v>217</v>
      </c>
      <c r="K145" s="561">
        <v>224</v>
      </c>
      <c r="L145" s="561">
        <v>215</v>
      </c>
      <c r="M145" s="561">
        <v>213</v>
      </c>
      <c r="N145" s="512">
        <v>211</v>
      </c>
      <c r="O145" s="807"/>
      <c r="P145" s="520"/>
      <c r="Q145" s="520">
        <v>194</v>
      </c>
      <c r="R145" s="520">
        <v>199</v>
      </c>
      <c r="S145" s="521">
        <v>191</v>
      </c>
    </row>
    <row r="146" spans="1:19" ht="15" customHeight="1" x14ac:dyDescent="0.25">
      <c r="A146" s="516"/>
      <c r="B146" s="762" t="s">
        <v>341</v>
      </c>
      <c r="C146" s="907"/>
      <c r="E146" s="724">
        <v>0</v>
      </c>
      <c r="F146" s="725">
        <v>952</v>
      </c>
      <c r="G146" s="739">
        <f>SUM(H146:S146)</f>
        <v>418</v>
      </c>
      <c r="H146" s="519">
        <v>47</v>
      </c>
      <c r="I146" s="520">
        <v>48</v>
      </c>
      <c r="J146" s="520">
        <v>44</v>
      </c>
      <c r="K146" s="561">
        <v>51</v>
      </c>
      <c r="L146" s="561">
        <v>43</v>
      </c>
      <c r="M146" s="561">
        <v>40</v>
      </c>
      <c r="N146" s="512">
        <v>44</v>
      </c>
      <c r="O146" s="807"/>
      <c r="P146" s="520"/>
      <c r="Q146" s="520">
        <v>34</v>
      </c>
      <c r="R146" s="520">
        <v>33</v>
      </c>
      <c r="S146" s="521">
        <v>34</v>
      </c>
    </row>
    <row r="147" spans="1:19" ht="15" customHeight="1" x14ac:dyDescent="0.25">
      <c r="A147" s="516"/>
      <c r="B147" s="535" t="s">
        <v>342</v>
      </c>
      <c r="E147" s="724">
        <v>0</v>
      </c>
      <c r="F147" s="725">
        <v>883408</v>
      </c>
      <c r="G147" s="739">
        <f>SUM(H147:S147)</f>
        <v>449630</v>
      </c>
      <c r="H147" s="578">
        <v>51324</v>
      </c>
      <c r="I147" s="574">
        <v>47490</v>
      </c>
      <c r="J147" s="574">
        <v>55199</v>
      </c>
      <c r="K147" s="574">
        <v>51790</v>
      </c>
      <c r="L147" s="574">
        <v>51506</v>
      </c>
      <c r="M147" s="574">
        <v>50971</v>
      </c>
      <c r="N147" s="574">
        <v>48489</v>
      </c>
      <c r="O147" s="923"/>
      <c r="P147" s="574"/>
      <c r="Q147" s="574">
        <v>47757</v>
      </c>
      <c r="R147" s="574"/>
      <c r="S147" s="575">
        <v>45104</v>
      </c>
    </row>
    <row r="148" spans="1:19" s="655" customFormat="1" ht="15.95" customHeight="1" x14ac:dyDescent="0.25">
      <c r="A148" s="654"/>
      <c r="B148" s="1051" t="s">
        <v>89</v>
      </c>
      <c r="C148" s="1052"/>
      <c r="D148" s="1052"/>
      <c r="E148" s="1052"/>
      <c r="F148" s="1052"/>
      <c r="G148" s="1052"/>
      <c r="H148" s="1052"/>
      <c r="I148" s="1052"/>
      <c r="J148" s="1052"/>
      <c r="K148" s="1052"/>
      <c r="L148" s="1052"/>
      <c r="M148" s="1052"/>
      <c r="N148" s="1052"/>
      <c r="O148" s="1052"/>
      <c r="P148" s="1052"/>
      <c r="Q148" s="1052"/>
      <c r="R148" s="1052"/>
      <c r="S148" s="1053"/>
    </row>
    <row r="149" spans="1:19" ht="15" customHeight="1" x14ac:dyDescent="0.25">
      <c r="A149" s="516"/>
      <c r="B149" s="536" t="s">
        <v>343</v>
      </c>
      <c r="E149" s="724">
        <v>0</v>
      </c>
      <c r="F149" s="725">
        <v>934</v>
      </c>
      <c r="G149" s="739">
        <f>SUM(H149:S149)</f>
        <v>0</v>
      </c>
      <c r="H149" s="892" t="s">
        <v>397</v>
      </c>
      <c r="I149" s="892" t="s">
        <v>397</v>
      </c>
      <c r="J149" s="892" t="s">
        <v>397</v>
      </c>
      <c r="K149" s="892" t="s">
        <v>397</v>
      </c>
      <c r="L149" s="892" t="s">
        <v>397</v>
      </c>
      <c r="M149" s="892" t="s">
        <v>397</v>
      </c>
      <c r="N149" s="926"/>
      <c r="O149" s="927"/>
      <c r="P149" s="927"/>
      <c r="Q149" s="927"/>
      <c r="R149" s="927"/>
      <c r="S149" s="532"/>
    </row>
    <row r="150" spans="1:19" ht="15" hidden="1" customHeight="1" x14ac:dyDescent="0.25">
      <c r="A150" s="516"/>
      <c r="B150" s="581" t="s">
        <v>344</v>
      </c>
      <c r="C150" s="916"/>
      <c r="D150" s="876"/>
      <c r="E150" s="741">
        <v>0</v>
      </c>
      <c r="F150" s="742">
        <v>0</v>
      </c>
      <c r="G150" s="739">
        <f>SUM(H150:S150)</f>
        <v>0</v>
      </c>
      <c r="H150" s="507"/>
      <c r="I150" s="508"/>
      <c r="J150" s="891"/>
      <c r="K150" s="891"/>
      <c r="L150" s="891"/>
      <c r="M150" s="891"/>
      <c r="N150" s="922"/>
      <c r="O150" s="928"/>
      <c r="P150" s="928"/>
      <c r="Q150" s="928"/>
      <c r="R150" s="582"/>
      <c r="S150" s="583"/>
    </row>
    <row r="151" spans="1:19" ht="15" hidden="1" customHeight="1" x14ac:dyDescent="0.25">
      <c r="A151" s="516"/>
      <c r="B151" s="535" t="s">
        <v>345</v>
      </c>
      <c r="E151" s="743">
        <v>0</v>
      </c>
      <c r="F151" s="744">
        <v>0</v>
      </c>
      <c r="G151" s="745">
        <f>SUM(H151:S151)</f>
        <v>0</v>
      </c>
      <c r="H151" s="507"/>
      <c r="I151" s="508"/>
      <c r="J151" s="584"/>
      <c r="K151" s="584"/>
      <c r="L151" s="584"/>
      <c r="M151" s="584"/>
      <c r="N151" s="922"/>
      <c r="O151" s="929"/>
      <c r="P151" s="929"/>
      <c r="Q151" s="929"/>
      <c r="R151" s="584"/>
      <c r="S151" s="585"/>
    </row>
    <row r="152" spans="1:19" ht="15" customHeight="1" x14ac:dyDescent="0.25">
      <c r="A152" s="516"/>
      <c r="B152" s="534" t="s">
        <v>346</v>
      </c>
      <c r="C152" s="909"/>
      <c r="D152" s="871"/>
      <c r="E152" s="537">
        <f>'FY 18'!E146</f>
        <v>89</v>
      </c>
      <c r="F152" s="667">
        <f>'FY 19'!G147</f>
        <v>33</v>
      </c>
      <c r="G152" s="683">
        <f>SUM(H152:S152)</f>
        <v>5</v>
      </c>
      <c r="H152" s="507">
        <v>3</v>
      </c>
      <c r="I152" s="508">
        <v>1</v>
      </c>
      <c r="J152" s="508">
        <v>1</v>
      </c>
      <c r="K152" s="508"/>
      <c r="L152" s="508"/>
      <c r="M152" s="508"/>
      <c r="N152" s="922"/>
      <c r="O152" s="927"/>
      <c r="P152" s="508"/>
      <c r="Q152" s="508"/>
      <c r="R152" s="927"/>
      <c r="S152" s="586"/>
    </row>
    <row r="153" spans="1:19" ht="15" customHeight="1" x14ac:dyDescent="0.25">
      <c r="A153" s="516"/>
      <c r="B153" s="587" t="s">
        <v>347</v>
      </c>
      <c r="C153" s="917"/>
      <c r="D153" s="881"/>
      <c r="E153" s="537">
        <f>'FY 18'!E147</f>
        <v>175</v>
      </c>
      <c r="F153" s="667">
        <f>'FY 19'!G148</f>
        <v>82</v>
      </c>
      <c r="G153" s="542">
        <f>SUM(H153:S153)</f>
        <v>107</v>
      </c>
      <c r="H153" s="588">
        <v>20</v>
      </c>
      <c r="I153" s="589">
        <v>18</v>
      </c>
      <c r="J153" s="589">
        <v>21</v>
      </c>
      <c r="K153" s="589">
        <v>17</v>
      </c>
      <c r="L153" s="589">
        <v>11</v>
      </c>
      <c r="M153" s="589">
        <v>10</v>
      </c>
      <c r="N153" s="589">
        <v>7</v>
      </c>
      <c r="P153" s="589"/>
      <c r="Q153" s="589">
        <v>3</v>
      </c>
      <c r="R153" s="589"/>
      <c r="S153" s="590"/>
    </row>
    <row r="154" spans="1:19" s="655" customFormat="1" ht="15.95" customHeight="1" x14ac:dyDescent="0.25">
      <c r="A154" s="654"/>
      <c r="B154" s="1054" t="s">
        <v>266</v>
      </c>
      <c r="C154" s="1069"/>
      <c r="D154" s="1069"/>
      <c r="E154" s="1069"/>
      <c r="F154" s="1069"/>
      <c r="G154" s="1055"/>
      <c r="H154" s="1055"/>
      <c r="I154" s="1055"/>
      <c r="J154" s="1055"/>
      <c r="K154" s="1055"/>
      <c r="L154" s="1055"/>
      <c r="M154" s="1055"/>
      <c r="N154" s="1055"/>
      <c r="O154" s="1055"/>
      <c r="P154" s="1055"/>
      <c r="Q154" s="1055"/>
      <c r="R154" s="1055"/>
      <c r="S154" s="1056"/>
    </row>
    <row r="155" spans="1:19" s="655" customFormat="1" ht="15.95" customHeight="1" x14ac:dyDescent="0.25">
      <c r="A155" s="654"/>
      <c r="B155" s="1070" t="s">
        <v>94</v>
      </c>
      <c r="C155" s="1071"/>
      <c r="D155" s="1071"/>
      <c r="E155" s="1071"/>
      <c r="F155" s="1071"/>
      <c r="G155" s="1071"/>
      <c r="H155" s="1071"/>
      <c r="I155" s="1071"/>
      <c r="J155" s="1071"/>
      <c r="K155" s="1071"/>
      <c r="L155" s="1071"/>
      <c r="M155" s="1071"/>
      <c r="N155" s="1071"/>
      <c r="O155" s="1071"/>
      <c r="P155" s="1071"/>
      <c r="Q155" s="1071"/>
      <c r="R155" s="1071"/>
      <c r="S155" s="1072"/>
    </row>
    <row r="156" spans="1:19" ht="15" customHeight="1" x14ac:dyDescent="0.25">
      <c r="A156" s="516"/>
      <c r="B156" s="536" t="s">
        <v>348</v>
      </c>
      <c r="C156" s="909"/>
      <c r="D156" s="871"/>
      <c r="E156" s="700">
        <f>'FY 18'!E150</f>
        <v>1220459.73</v>
      </c>
      <c r="F156" s="701">
        <f>'FY 19'!G151</f>
        <v>1079517.1099999999</v>
      </c>
      <c r="G156" s="591">
        <f>SUM(G157:G162)</f>
        <v>1117482.8899999999</v>
      </c>
      <c r="H156" s="838">
        <f>SUM(H157:H162)</f>
        <v>86739.159999999989</v>
      </c>
      <c r="I156" s="838">
        <f>SUM(I157:I162)</f>
        <v>63124.72</v>
      </c>
      <c r="J156" s="838">
        <f>SUM(J157:J162)</f>
        <v>69460.67</v>
      </c>
      <c r="K156" s="852">
        <v>65762.52</v>
      </c>
      <c r="L156" s="680">
        <v>65373.440000000002</v>
      </c>
      <c r="M156" s="680">
        <v>48421.73</v>
      </c>
      <c r="N156" s="680">
        <f>SUM(N157:N162)</f>
        <v>67407.179999999993</v>
      </c>
      <c r="O156" s="680">
        <v>60889.96</v>
      </c>
      <c r="P156" s="680">
        <f>SUM(P157:P161)</f>
        <v>46966.61</v>
      </c>
      <c r="Q156" s="680">
        <f>SUM(Q157:Q161)</f>
        <v>394737.2</v>
      </c>
      <c r="R156" s="680">
        <f>SUM(R157:R161)</f>
        <v>107033.11</v>
      </c>
      <c r="S156" s="680">
        <f>SUM(S157:S161)</f>
        <v>41566.589999999997</v>
      </c>
    </row>
    <row r="157" spans="1:19" ht="15" customHeight="1" x14ac:dyDescent="0.25">
      <c r="A157" s="516"/>
      <c r="B157" s="763" t="s">
        <v>349</v>
      </c>
      <c r="C157" s="918"/>
      <c r="D157" s="871"/>
      <c r="E157" s="700">
        <f>'FY 18'!E151</f>
        <v>10425.06</v>
      </c>
      <c r="F157" s="701">
        <f>'FY 19'!G152</f>
        <v>12657.88</v>
      </c>
      <c r="G157" s="591">
        <f t="shared" ref="G157:G162" si="10">SUM(H157:S157)</f>
        <v>4279.6000000000004</v>
      </c>
      <c r="H157" s="550">
        <v>418.04</v>
      </c>
      <c r="I157" s="551">
        <v>1178</v>
      </c>
      <c r="J157" s="551">
        <v>418.09</v>
      </c>
      <c r="K157" s="551">
        <v>0</v>
      </c>
      <c r="L157" s="551">
        <v>0</v>
      </c>
      <c r="M157" s="551">
        <v>0</v>
      </c>
      <c r="N157" s="551">
        <v>0</v>
      </c>
      <c r="O157" s="551">
        <v>291.5</v>
      </c>
      <c r="P157" s="551">
        <v>101.47</v>
      </c>
      <c r="Q157" s="551">
        <v>533.5</v>
      </c>
      <c r="R157" s="551">
        <v>1339</v>
      </c>
      <c r="S157" s="552">
        <v>0</v>
      </c>
    </row>
    <row r="158" spans="1:19" ht="15" customHeight="1" x14ac:dyDescent="0.25">
      <c r="A158" s="516"/>
      <c r="B158" s="762" t="s">
        <v>350</v>
      </c>
      <c r="C158" s="910"/>
      <c r="D158" s="873"/>
      <c r="E158" s="700">
        <f>'FY 18'!E152</f>
        <v>1083396.19</v>
      </c>
      <c r="F158" s="701">
        <f>'FY 19'!G153</f>
        <v>989852.94</v>
      </c>
      <c r="G158" s="592">
        <f t="shared" si="10"/>
        <v>1025086.8099999999</v>
      </c>
      <c r="H158" s="550">
        <v>78441.03</v>
      </c>
      <c r="I158" s="551">
        <v>57665.64</v>
      </c>
      <c r="J158" s="551">
        <v>56161.81</v>
      </c>
      <c r="K158" s="851">
        <v>58757.52</v>
      </c>
      <c r="L158" s="551">
        <v>55147.59</v>
      </c>
      <c r="M158" s="551">
        <v>46675.23</v>
      </c>
      <c r="N158" s="551">
        <v>57811.76</v>
      </c>
      <c r="O158" s="551">
        <v>50644.46</v>
      </c>
      <c r="P158" s="551">
        <v>42616.37</v>
      </c>
      <c r="Q158" s="551">
        <v>386315.7</v>
      </c>
      <c r="R158" s="551">
        <v>97261.11</v>
      </c>
      <c r="S158" s="552">
        <v>37588.589999999997</v>
      </c>
    </row>
    <row r="159" spans="1:19" ht="15" customHeight="1" x14ac:dyDescent="0.25">
      <c r="A159" s="516"/>
      <c r="B159" s="762" t="s">
        <v>351</v>
      </c>
      <c r="C159" s="910"/>
      <c r="D159" s="873"/>
      <c r="E159" s="700">
        <f>'FY 18'!E153</f>
        <v>38427.760000000002</v>
      </c>
      <c r="F159" s="701">
        <f>'FY 19'!G154</f>
        <v>29876.330000000005</v>
      </c>
      <c r="G159" s="592">
        <f t="shared" si="10"/>
        <v>15284.54</v>
      </c>
      <c r="H159" s="550">
        <v>3327.09</v>
      </c>
      <c r="I159" s="551">
        <v>1173.08</v>
      </c>
      <c r="J159" s="551">
        <v>2022.83</v>
      </c>
      <c r="K159" s="851">
        <v>1098</v>
      </c>
      <c r="L159" s="551">
        <v>2273.85</v>
      </c>
      <c r="M159" s="551">
        <v>918.5</v>
      </c>
      <c r="N159" s="551">
        <v>1176.42</v>
      </c>
      <c r="O159" s="551">
        <v>450</v>
      </c>
      <c r="P159" s="551">
        <v>993.77</v>
      </c>
      <c r="Q159" s="551">
        <v>1008</v>
      </c>
      <c r="R159" s="551">
        <v>498</v>
      </c>
      <c r="S159" s="552">
        <v>345</v>
      </c>
    </row>
    <row r="160" spans="1:19" ht="15" customHeight="1" x14ac:dyDescent="0.25">
      <c r="A160" s="516"/>
      <c r="B160" s="762" t="s">
        <v>352</v>
      </c>
      <c r="C160" s="910"/>
      <c r="D160" s="873"/>
      <c r="E160" s="700">
        <f>'FY 18'!E154</f>
        <v>73375.72</v>
      </c>
      <c r="F160" s="701">
        <f>'FY 19'!G155</f>
        <v>37310.460000000006</v>
      </c>
      <c r="G160" s="592">
        <f t="shared" si="10"/>
        <v>52297.94</v>
      </c>
      <c r="H160" s="550">
        <v>3627</v>
      </c>
      <c r="I160" s="696">
        <v>0</v>
      </c>
      <c r="J160" s="551">
        <v>9809.94</v>
      </c>
      <c r="K160" s="851">
        <v>4844</v>
      </c>
      <c r="L160" s="862">
        <v>6944</v>
      </c>
      <c r="M160" s="551">
        <v>0</v>
      </c>
      <c r="N160" s="551">
        <v>7459</v>
      </c>
      <c r="O160" s="551">
        <v>8486</v>
      </c>
      <c r="P160" s="551">
        <v>2130</v>
      </c>
      <c r="Q160" s="551">
        <v>6527</v>
      </c>
      <c r="R160" s="551">
        <v>0</v>
      </c>
      <c r="S160" s="552">
        <v>2471</v>
      </c>
    </row>
    <row r="161" spans="1:19" ht="15" customHeight="1" x14ac:dyDescent="0.25">
      <c r="A161" s="516"/>
      <c r="B161" s="762" t="s">
        <v>353</v>
      </c>
      <c r="C161" s="910"/>
      <c r="D161" s="873"/>
      <c r="E161" s="700">
        <f>'FY 18'!E155</f>
        <v>14835</v>
      </c>
      <c r="F161" s="701">
        <f>'FY 19'!G156</f>
        <v>9819.5</v>
      </c>
      <c r="G161" s="592">
        <f t="shared" si="10"/>
        <v>20534</v>
      </c>
      <c r="H161" s="550">
        <v>926</v>
      </c>
      <c r="I161" s="551">
        <v>3108</v>
      </c>
      <c r="J161" s="551">
        <v>1048</v>
      </c>
      <c r="K161" s="851">
        <v>1063</v>
      </c>
      <c r="L161" s="551">
        <v>1008</v>
      </c>
      <c r="M161" s="551">
        <v>828</v>
      </c>
      <c r="N161" s="551">
        <v>960</v>
      </c>
      <c r="O161" s="551">
        <v>1018</v>
      </c>
      <c r="P161" s="551">
        <v>1125</v>
      </c>
      <c r="Q161" s="551">
        <v>353</v>
      </c>
      <c r="R161" s="551">
        <v>7935</v>
      </c>
      <c r="S161" s="552">
        <v>1162</v>
      </c>
    </row>
    <row r="162" spans="1:19" ht="15" customHeight="1" x14ac:dyDescent="0.25">
      <c r="A162" s="516"/>
      <c r="B162" s="761" t="s">
        <v>354</v>
      </c>
      <c r="C162" s="906"/>
      <c r="D162" s="872"/>
      <c r="E162" s="700">
        <f>'FY 18'!E156</f>
        <v>0</v>
      </c>
      <c r="F162" s="701">
        <f>'FY 19'!G157</f>
        <v>0</v>
      </c>
      <c r="G162" s="593">
        <f t="shared" si="10"/>
        <v>0</v>
      </c>
      <c r="H162" s="550">
        <v>0</v>
      </c>
      <c r="I162" s="550">
        <v>0</v>
      </c>
      <c r="J162" s="551">
        <v>0</v>
      </c>
      <c r="K162" s="551">
        <v>0</v>
      </c>
      <c r="L162" s="551">
        <v>0</v>
      </c>
      <c r="M162" s="551">
        <v>0</v>
      </c>
      <c r="N162" s="551">
        <v>0</v>
      </c>
      <c r="O162" s="551">
        <v>0</v>
      </c>
      <c r="P162" s="551">
        <v>0</v>
      </c>
      <c r="Q162" s="551">
        <v>0</v>
      </c>
      <c r="R162" s="551">
        <v>0</v>
      </c>
      <c r="S162" s="552">
        <v>0</v>
      </c>
    </row>
    <row r="163" spans="1:19" s="655" customFormat="1" ht="15.95" customHeight="1" x14ac:dyDescent="0.25">
      <c r="A163" s="654"/>
      <c r="B163" s="1060" t="s">
        <v>95</v>
      </c>
      <c r="C163" s="1061"/>
      <c r="D163" s="1061"/>
      <c r="E163" s="1061"/>
      <c r="F163" s="1061"/>
      <c r="G163" s="1061"/>
      <c r="H163" s="1061"/>
      <c r="I163" s="1061"/>
      <c r="J163" s="1061"/>
      <c r="K163" s="1061"/>
      <c r="L163" s="1061"/>
      <c r="M163" s="1061"/>
      <c r="N163" s="1061"/>
      <c r="O163" s="1061"/>
      <c r="P163" s="1061"/>
      <c r="Q163" s="1061"/>
      <c r="R163" s="1061"/>
      <c r="S163" s="1062"/>
    </row>
    <row r="164" spans="1:19" ht="15" customHeight="1" x14ac:dyDescent="0.25">
      <c r="A164" s="516"/>
      <c r="B164" s="536" t="s">
        <v>355</v>
      </c>
      <c r="C164" s="909"/>
      <c r="D164" s="871"/>
      <c r="E164" s="706">
        <f>'FY 18'!E158</f>
        <v>115307</v>
      </c>
      <c r="F164" s="707">
        <f>'FY 19'!G159</f>
        <v>108268</v>
      </c>
      <c r="G164" s="510">
        <f>SUM(H164:S164)</f>
        <v>79635</v>
      </c>
      <c r="H164" s="537">
        <f t="shared" ref="H164:O164" si="11">SUM(H165:H166)</f>
        <v>9932</v>
      </c>
      <c r="I164" s="537">
        <f t="shared" si="11"/>
        <v>9688</v>
      </c>
      <c r="J164" s="537">
        <f t="shared" si="11"/>
        <v>9712</v>
      </c>
      <c r="K164" s="537">
        <f t="shared" si="11"/>
        <v>10596</v>
      </c>
      <c r="L164" s="537">
        <f t="shared" si="11"/>
        <v>7933</v>
      </c>
      <c r="M164" s="537">
        <f>SUM(M165:M166)</f>
        <v>9107</v>
      </c>
      <c r="N164" s="537">
        <f t="shared" si="11"/>
        <v>11708</v>
      </c>
      <c r="O164" s="537">
        <f t="shared" si="11"/>
        <v>9023</v>
      </c>
      <c r="P164" s="566"/>
      <c r="Q164" s="566"/>
      <c r="R164" s="566">
        <f>SUM(R165:R166)</f>
        <v>614</v>
      </c>
      <c r="S164" s="566">
        <f>SUM(S165:S166)</f>
        <v>1322</v>
      </c>
    </row>
    <row r="165" spans="1:19" ht="15" customHeight="1" x14ac:dyDescent="0.25">
      <c r="A165" s="516"/>
      <c r="B165" s="763" t="s">
        <v>97</v>
      </c>
      <c r="C165" s="918"/>
      <c r="D165" s="871"/>
      <c r="E165" s="706">
        <f>'FY 18'!E159</f>
        <v>109156</v>
      </c>
      <c r="F165" s="707">
        <f>'FY 19'!G160</f>
        <v>102606</v>
      </c>
      <c r="G165" s="510">
        <f t="shared" ref="G165:G168" si="12">SUM(H165:S165)</f>
        <v>76884</v>
      </c>
      <c r="H165" s="537">
        <v>9682</v>
      </c>
      <c r="I165" s="566">
        <v>9273</v>
      </c>
      <c r="J165" s="566">
        <v>9389</v>
      </c>
      <c r="K165" s="566">
        <v>10337</v>
      </c>
      <c r="L165" s="566">
        <v>7767</v>
      </c>
      <c r="M165" s="566">
        <v>8932</v>
      </c>
      <c r="N165" s="566">
        <v>11240</v>
      </c>
      <c r="O165" s="566">
        <v>8569</v>
      </c>
      <c r="P165" s="566"/>
      <c r="Q165" s="566"/>
      <c r="R165" s="566">
        <v>579</v>
      </c>
      <c r="S165" s="594">
        <v>1116</v>
      </c>
    </row>
    <row r="166" spans="1:19" ht="15" customHeight="1" x14ac:dyDescent="0.25">
      <c r="A166" s="516"/>
      <c r="B166" s="762" t="s">
        <v>371</v>
      </c>
      <c r="C166" s="910"/>
      <c r="D166" s="873"/>
      <c r="E166" s="706">
        <f>'FY 18'!E160</f>
        <v>6151</v>
      </c>
      <c r="F166" s="707">
        <f>'FY 19'!G161</f>
        <v>5662</v>
      </c>
      <c r="G166" s="523">
        <f t="shared" si="12"/>
        <v>2751</v>
      </c>
      <c r="H166" s="537">
        <v>250</v>
      </c>
      <c r="I166" s="566">
        <v>415</v>
      </c>
      <c r="J166" s="566">
        <v>323</v>
      </c>
      <c r="K166" s="566">
        <v>259</v>
      </c>
      <c r="L166" s="566">
        <v>166</v>
      </c>
      <c r="M166" s="566">
        <v>175</v>
      </c>
      <c r="N166" s="566">
        <v>468</v>
      </c>
      <c r="O166" s="566">
        <v>454</v>
      </c>
      <c r="P166" s="566"/>
      <c r="Q166" s="566"/>
      <c r="R166" s="566">
        <v>35</v>
      </c>
      <c r="S166" s="594">
        <v>206</v>
      </c>
    </row>
    <row r="167" spans="1:19" ht="15" customHeight="1" x14ac:dyDescent="0.25">
      <c r="A167" s="516"/>
      <c r="B167" s="534" t="s">
        <v>356</v>
      </c>
      <c r="C167" s="911"/>
      <c r="D167" s="873"/>
      <c r="E167" s="706">
        <f>'FY 18'!E161</f>
        <v>176953</v>
      </c>
      <c r="F167" s="707">
        <f>'FY 19'!G162</f>
        <v>178788</v>
      </c>
      <c r="G167" s="523">
        <f t="shared" si="12"/>
        <v>142077</v>
      </c>
      <c r="H167" s="537">
        <v>16241</v>
      </c>
      <c r="I167" s="823">
        <v>15066</v>
      </c>
      <c r="J167" s="566">
        <v>15986</v>
      </c>
      <c r="K167" s="566">
        <v>16500</v>
      </c>
      <c r="L167" s="566">
        <v>11376</v>
      </c>
      <c r="M167" s="566">
        <v>12962</v>
      </c>
      <c r="N167" s="566">
        <v>15455</v>
      </c>
      <c r="O167" s="566">
        <v>11891</v>
      </c>
      <c r="P167" s="566"/>
      <c r="Q167" s="566">
        <v>7342</v>
      </c>
      <c r="R167" s="566">
        <v>10992</v>
      </c>
      <c r="S167" s="955">
        <v>8266</v>
      </c>
    </row>
    <row r="168" spans="1:19" ht="15" customHeight="1" x14ac:dyDescent="0.25">
      <c r="A168" s="516"/>
      <c r="B168" s="762" t="s">
        <v>357</v>
      </c>
      <c r="C168" s="910"/>
      <c r="D168" s="873"/>
      <c r="E168" s="706">
        <f>'FY 18'!E162</f>
        <v>171124</v>
      </c>
      <c r="F168" s="707">
        <f>'FY 19'!G163</f>
        <v>173564</v>
      </c>
      <c r="G168" s="523">
        <f t="shared" si="12"/>
        <v>138778</v>
      </c>
      <c r="H168" s="537">
        <v>15875</v>
      </c>
      <c r="I168" s="823">
        <v>14649</v>
      </c>
      <c r="J168" s="566">
        <v>15479</v>
      </c>
      <c r="K168" s="566">
        <v>15926</v>
      </c>
      <c r="L168" s="566">
        <v>11007</v>
      </c>
      <c r="M168" s="566">
        <v>12449</v>
      </c>
      <c r="N168" s="566">
        <v>14948</v>
      </c>
      <c r="O168" s="566">
        <v>12202</v>
      </c>
      <c r="P168" s="566"/>
      <c r="Q168" s="566">
        <v>7240</v>
      </c>
      <c r="R168" s="566">
        <v>10856</v>
      </c>
      <c r="S168" s="955">
        <v>8147</v>
      </c>
    </row>
    <row r="169" spans="1:19" ht="15" customHeight="1" x14ac:dyDescent="0.25">
      <c r="A169" s="516"/>
      <c r="B169" s="761" t="s">
        <v>358</v>
      </c>
      <c r="C169" s="906"/>
      <c r="D169" s="872"/>
      <c r="E169" s="938">
        <f>'FY 18'!E163</f>
        <v>0.9670590495781366</v>
      </c>
      <c r="F169" s="939">
        <v>0.97018119104905221</v>
      </c>
      <c r="G169" s="946">
        <f>AVERAGE(H169:S169)</f>
        <v>0.97384406810504653</v>
      </c>
      <c r="H169" s="828">
        <v>0.97750000000000004</v>
      </c>
      <c r="I169" s="830">
        <v>0.97230000000000005</v>
      </c>
      <c r="J169" s="827">
        <f>J168/J167</f>
        <v>0.9682847491555111</v>
      </c>
      <c r="K169" s="827">
        <v>0.96519999999999995</v>
      </c>
      <c r="L169" s="827">
        <v>0.96760000000000002</v>
      </c>
      <c r="M169" s="827">
        <v>0.96040000000000003</v>
      </c>
      <c r="N169" s="596">
        <v>0.96719999999999995</v>
      </c>
      <c r="O169" s="596">
        <v>0.97450000000000003</v>
      </c>
      <c r="P169" s="596"/>
      <c r="Q169" s="596">
        <v>0.98609999999999998</v>
      </c>
      <c r="R169" s="596">
        <v>0.98760000000000003</v>
      </c>
      <c r="S169" s="597">
        <v>0.98560000000000003</v>
      </c>
    </row>
    <row r="170" spans="1:19" s="655" customFormat="1" ht="15.95" customHeight="1" x14ac:dyDescent="0.25">
      <c r="A170" s="654"/>
      <c r="B170" s="1060" t="s">
        <v>359</v>
      </c>
      <c r="C170" s="1061"/>
      <c r="D170" s="1061"/>
      <c r="E170" s="1061"/>
      <c r="F170" s="1061"/>
      <c r="G170" s="1061"/>
      <c r="H170" s="1061"/>
      <c r="I170" s="1061"/>
      <c r="J170" s="1061"/>
      <c r="K170" s="1061"/>
      <c r="L170" s="1061"/>
      <c r="M170" s="1061"/>
      <c r="N170" s="1061"/>
      <c r="O170" s="1061"/>
      <c r="P170" s="1061"/>
      <c r="Q170" s="1061"/>
      <c r="R170" s="1061"/>
      <c r="S170" s="1062"/>
    </row>
    <row r="171" spans="1:19" ht="15" customHeight="1" x14ac:dyDescent="0.25">
      <c r="A171" s="516"/>
      <c r="B171" s="536" t="s">
        <v>360</v>
      </c>
      <c r="C171" s="909"/>
      <c r="D171" s="871"/>
      <c r="E171" s="686">
        <f>'FY 18'!E165</f>
        <v>3277</v>
      </c>
      <c r="F171" s="697">
        <f>'FY 19'!G166</f>
        <v>1943</v>
      </c>
      <c r="G171" s="529">
        <f>SUM(H171:S171)</f>
        <v>1078</v>
      </c>
      <c r="H171" s="511">
        <v>85</v>
      </c>
      <c r="I171" s="512">
        <v>122</v>
      </c>
      <c r="J171" s="512">
        <f>SUM(J172:J177)</f>
        <v>133</v>
      </c>
      <c r="K171" s="512">
        <f t="shared" ref="K171:S171" si="13">SUM(K172:K177)</f>
        <v>120</v>
      </c>
      <c r="L171" s="512">
        <f t="shared" si="13"/>
        <v>102</v>
      </c>
      <c r="M171" s="512">
        <f t="shared" si="13"/>
        <v>105</v>
      </c>
      <c r="N171" s="512">
        <f t="shared" si="13"/>
        <v>126</v>
      </c>
      <c r="O171" s="512">
        <f t="shared" si="13"/>
        <v>196</v>
      </c>
      <c r="P171" s="512">
        <f t="shared" si="13"/>
        <v>6</v>
      </c>
      <c r="Q171" s="512">
        <f t="shared" si="13"/>
        <v>14</v>
      </c>
      <c r="R171" s="512">
        <f t="shared" si="13"/>
        <v>17</v>
      </c>
      <c r="S171" s="512">
        <f t="shared" si="13"/>
        <v>52</v>
      </c>
    </row>
    <row r="172" spans="1:19" ht="15" customHeight="1" x14ac:dyDescent="0.25">
      <c r="A172" s="516"/>
      <c r="B172" s="760" t="s">
        <v>361</v>
      </c>
      <c r="C172" s="905"/>
      <c r="D172" s="874"/>
      <c r="E172" s="686">
        <f>'FY 18'!E166</f>
        <v>1097</v>
      </c>
      <c r="F172" s="697">
        <f>'FY 19'!G167</f>
        <v>683</v>
      </c>
      <c r="G172" s="517">
        <f t="shared" ref="G172:G177" si="14">SUM(H172:S172)</f>
        <v>310</v>
      </c>
      <c r="H172" s="519">
        <v>19</v>
      </c>
      <c r="I172" s="520">
        <v>89</v>
      </c>
      <c r="J172" s="520">
        <v>79</v>
      </c>
      <c r="K172" s="520">
        <v>17</v>
      </c>
      <c r="L172" s="520">
        <v>16</v>
      </c>
      <c r="M172" s="520">
        <v>2</v>
      </c>
      <c r="N172" s="520">
        <v>24</v>
      </c>
      <c r="O172" s="512">
        <v>61</v>
      </c>
      <c r="P172" s="520">
        <v>3</v>
      </c>
      <c r="Q172" s="520"/>
      <c r="R172" s="520"/>
      <c r="S172" s="520"/>
    </row>
    <row r="173" spans="1:19" ht="15" customHeight="1" x14ac:dyDescent="0.25">
      <c r="A173" s="516"/>
      <c r="B173" s="760" t="s">
        <v>362</v>
      </c>
      <c r="C173" s="905"/>
      <c r="D173" s="874"/>
      <c r="E173" s="686">
        <f>'FY 18'!E167</f>
        <v>0</v>
      </c>
      <c r="F173" s="697">
        <f>'FY 19'!G168</f>
        <v>0</v>
      </c>
      <c r="G173" s="517">
        <f t="shared" si="14"/>
        <v>0</v>
      </c>
      <c r="H173" s="519">
        <v>0</v>
      </c>
      <c r="I173" s="520">
        <v>0</v>
      </c>
      <c r="J173" s="520">
        <v>0</v>
      </c>
      <c r="K173" s="520">
        <v>0</v>
      </c>
      <c r="L173" s="520">
        <v>0</v>
      </c>
      <c r="M173" s="520">
        <v>0</v>
      </c>
      <c r="N173" s="520">
        <v>0</v>
      </c>
      <c r="O173" s="520">
        <v>0</v>
      </c>
      <c r="P173" s="520">
        <v>0</v>
      </c>
      <c r="Q173" s="520"/>
      <c r="R173" s="520"/>
      <c r="S173" s="520"/>
    </row>
    <row r="174" spans="1:19" ht="15" customHeight="1" x14ac:dyDescent="0.25">
      <c r="A174" s="516"/>
      <c r="B174" s="760" t="s">
        <v>363</v>
      </c>
      <c r="C174" s="905"/>
      <c r="D174" s="874"/>
      <c r="E174" s="686">
        <f>'FY 18'!E168</f>
        <v>233</v>
      </c>
      <c r="F174" s="697">
        <f>'FY 19'!G169</f>
        <v>50</v>
      </c>
      <c r="G174" s="517">
        <f t="shared" si="14"/>
        <v>43</v>
      </c>
      <c r="H174" s="519">
        <v>0</v>
      </c>
      <c r="I174" s="520">
        <v>0</v>
      </c>
      <c r="J174" s="520">
        <v>0</v>
      </c>
      <c r="K174" s="520">
        <v>13</v>
      </c>
      <c r="L174" s="520">
        <v>0</v>
      </c>
      <c r="M174" s="520">
        <v>0</v>
      </c>
      <c r="N174" s="520">
        <v>12</v>
      </c>
      <c r="O174" s="520">
        <v>18</v>
      </c>
      <c r="P174" s="520">
        <v>0</v>
      </c>
      <c r="Q174" s="520"/>
      <c r="R174" s="520"/>
    </row>
    <row r="175" spans="1:19" ht="15" customHeight="1" x14ac:dyDescent="0.25">
      <c r="A175" s="516"/>
      <c r="B175" s="760" t="s">
        <v>364</v>
      </c>
      <c r="C175" s="905"/>
      <c r="D175" s="874"/>
      <c r="E175" s="686">
        <f>'FY 18'!E169</f>
        <v>479</v>
      </c>
      <c r="F175" s="697">
        <f>'FY 19'!G170</f>
        <v>555</v>
      </c>
      <c r="G175" s="517">
        <f>SUM(H175:S175)</f>
        <v>220</v>
      </c>
      <c r="H175" s="519">
        <v>0</v>
      </c>
      <c r="I175" s="520">
        <v>45</v>
      </c>
      <c r="J175" s="520">
        <v>0</v>
      </c>
      <c r="K175" s="520">
        <v>18</v>
      </c>
      <c r="L175" s="520">
        <v>47</v>
      </c>
      <c r="M175" s="520">
        <v>19</v>
      </c>
      <c r="N175" s="807">
        <v>28</v>
      </c>
      <c r="O175" s="520">
        <v>36</v>
      </c>
      <c r="P175" s="520">
        <v>0</v>
      </c>
      <c r="Q175" s="520">
        <v>1</v>
      </c>
      <c r="R175" s="520">
        <v>9</v>
      </c>
      <c r="S175" s="520">
        <v>17</v>
      </c>
    </row>
    <row r="176" spans="1:19" ht="15" customHeight="1" x14ac:dyDescent="0.25">
      <c r="A176" s="516"/>
      <c r="B176" s="762" t="s">
        <v>365</v>
      </c>
      <c r="C176" s="910"/>
      <c r="D176" s="873"/>
      <c r="E176" s="686">
        <f>'FY 18'!E170</f>
        <v>1203</v>
      </c>
      <c r="F176" s="697">
        <f>'FY 19'!G171</f>
        <v>634</v>
      </c>
      <c r="G176" s="517">
        <f t="shared" si="14"/>
        <v>567</v>
      </c>
      <c r="H176" s="519">
        <v>66</v>
      </c>
      <c r="I176" s="520">
        <v>52</v>
      </c>
      <c r="J176" s="520">
        <v>54</v>
      </c>
      <c r="K176" s="520">
        <v>72</v>
      </c>
      <c r="L176" s="520">
        <v>39</v>
      </c>
      <c r="M176" s="520">
        <v>84</v>
      </c>
      <c r="N176" s="520">
        <v>60</v>
      </c>
      <c r="O176" s="520">
        <v>81</v>
      </c>
      <c r="P176" s="520">
        <v>3</v>
      </c>
      <c r="Q176" s="520">
        <v>13</v>
      </c>
      <c r="R176" s="520">
        <v>8</v>
      </c>
      <c r="S176" s="520">
        <v>35</v>
      </c>
    </row>
    <row r="177" spans="1:20" ht="15" customHeight="1" x14ac:dyDescent="0.25">
      <c r="A177" s="516"/>
      <c r="B177" s="761" t="s">
        <v>366</v>
      </c>
      <c r="C177" s="906"/>
      <c r="D177" s="872"/>
      <c r="E177" s="686">
        <f>'FY 18'!E171</f>
        <v>265</v>
      </c>
      <c r="F177" s="697">
        <f>'FY 19'!G172</f>
        <v>21</v>
      </c>
      <c r="G177" s="530">
        <f t="shared" si="14"/>
        <v>2</v>
      </c>
      <c r="H177" s="524">
        <v>0</v>
      </c>
      <c r="I177" s="525">
        <v>0</v>
      </c>
      <c r="J177" s="525">
        <v>0</v>
      </c>
      <c r="K177" s="525">
        <v>0</v>
      </c>
      <c r="L177" s="525">
        <v>0</v>
      </c>
      <c r="M177" s="525">
        <v>0</v>
      </c>
      <c r="N177" s="525">
        <v>2</v>
      </c>
      <c r="O177" s="525">
        <v>0</v>
      </c>
      <c r="P177" s="525">
        <v>0</v>
      </c>
      <c r="Q177" s="525"/>
      <c r="R177" s="525"/>
      <c r="S177" s="525"/>
    </row>
    <row r="178" spans="1:20" s="655" customFormat="1" ht="15.95" customHeight="1" x14ac:dyDescent="0.25">
      <c r="A178" s="654"/>
      <c r="B178" s="1041" t="s">
        <v>267</v>
      </c>
      <c r="C178" s="1042"/>
      <c r="D178" s="1042"/>
      <c r="E178" s="1042"/>
      <c r="F178" s="1042"/>
      <c r="G178" s="1042"/>
      <c r="H178" s="1042"/>
      <c r="I178" s="1042"/>
      <c r="J178" s="1042"/>
      <c r="K178" s="1042"/>
      <c r="L178" s="1042"/>
      <c r="M178" s="1042"/>
      <c r="N178" s="1042"/>
      <c r="O178" s="1042"/>
      <c r="P178" s="1042"/>
      <c r="Q178" s="1042"/>
      <c r="R178" s="1042"/>
      <c r="S178" s="1043"/>
    </row>
    <row r="179" spans="1:20" ht="15" customHeight="1" x14ac:dyDescent="0.2">
      <c r="A179" s="516"/>
      <c r="B179" s="536" t="s">
        <v>274</v>
      </c>
      <c r="E179" s="710">
        <f>'FY 18'!E173</f>
        <v>17327377.649999999</v>
      </c>
      <c r="F179" s="711">
        <f>'FY 19'!G174</f>
        <v>17093278.73</v>
      </c>
      <c r="G179" s="598">
        <f>SUM(H179:S179)</f>
        <v>17174062.27</v>
      </c>
      <c r="H179" s="545">
        <v>1401910.99</v>
      </c>
      <c r="I179" s="599">
        <v>1397273.55</v>
      </c>
      <c r="J179" s="837">
        <v>1355521.41</v>
      </c>
      <c r="K179" s="850">
        <v>1438724.9</v>
      </c>
      <c r="L179" s="863">
        <v>1323475.01</v>
      </c>
      <c r="M179" s="952">
        <v>1389790.09</v>
      </c>
      <c r="N179" s="850">
        <v>1406867.18</v>
      </c>
      <c r="O179" s="600">
        <v>1289108.52</v>
      </c>
      <c r="P179" s="600">
        <v>1569889.98</v>
      </c>
      <c r="Q179" s="601">
        <v>1339094.7</v>
      </c>
      <c r="R179" s="602">
        <v>1617171.41</v>
      </c>
      <c r="S179" s="603">
        <v>1645234.53</v>
      </c>
    </row>
    <row r="180" spans="1:20" s="655" customFormat="1" ht="15.95" customHeight="1" x14ac:dyDescent="0.25">
      <c r="A180" s="654"/>
      <c r="B180" s="1044" t="s">
        <v>268</v>
      </c>
      <c r="C180" s="1045"/>
      <c r="D180" s="1045"/>
      <c r="E180" s="1045"/>
      <c r="F180" s="1045"/>
      <c r="G180" s="1045"/>
      <c r="H180" s="1045"/>
      <c r="I180" s="1045"/>
      <c r="J180" s="1045"/>
      <c r="K180" s="1045"/>
      <c r="L180" s="1045"/>
      <c r="M180" s="1045"/>
      <c r="N180" s="1045"/>
      <c r="O180" s="1045"/>
      <c r="P180" s="1045"/>
      <c r="Q180" s="1045"/>
      <c r="R180" s="1045"/>
      <c r="S180" s="1046"/>
    </row>
    <row r="181" spans="1:20" ht="20.25" customHeight="1" x14ac:dyDescent="0.25">
      <c r="A181" s="516"/>
      <c r="B181" s="536" t="s">
        <v>367</v>
      </c>
      <c r="E181" s="712"/>
      <c r="F181" s="698"/>
      <c r="G181" s="506"/>
      <c r="H181" s="677">
        <v>117022</v>
      </c>
      <c r="I181" s="678">
        <v>117797</v>
      </c>
      <c r="J181" s="678">
        <v>118136</v>
      </c>
      <c r="K181" s="678">
        <v>117523</v>
      </c>
      <c r="L181" s="678">
        <v>117554</v>
      </c>
      <c r="M181" s="678">
        <v>117778</v>
      </c>
      <c r="N181" s="678">
        <v>117906</v>
      </c>
      <c r="O181" s="678"/>
      <c r="P181" s="678"/>
      <c r="Q181" s="678"/>
      <c r="R181" s="679"/>
      <c r="S181" s="518">
        <v>116549</v>
      </c>
    </row>
    <row r="182" spans="1:20" ht="23.25" customHeight="1" x14ac:dyDescent="0.2">
      <c r="A182" s="751"/>
      <c r="B182" s="752" t="s">
        <v>368</v>
      </c>
      <c r="C182" s="919"/>
      <c r="D182" s="882"/>
      <c r="E182" s="713"/>
      <c r="F182" s="699"/>
      <c r="G182" s="714"/>
      <c r="H182" s="826">
        <f>H181/T182</f>
        <v>0.37520520186733697</v>
      </c>
      <c r="I182" s="826">
        <f>I181/T182</f>
        <v>0.37769006822962087</v>
      </c>
      <c r="J182" s="826">
        <f>J181/T182</f>
        <v>0.37877699687067151</v>
      </c>
      <c r="K182" s="826">
        <f>K181/T182</f>
        <v>0.37681154773508441</v>
      </c>
      <c r="L182" s="826">
        <f>L181/T182</f>
        <v>0.37691094238957573</v>
      </c>
      <c r="M182" s="826">
        <f>M181/T182</f>
        <v>0.37762914892525523</v>
      </c>
      <c r="N182" s="826">
        <f>N181/T182</f>
        <v>0.37803955265992922</v>
      </c>
      <c r="O182" s="825"/>
      <c r="P182" s="825"/>
      <c r="Q182" s="825"/>
      <c r="R182" s="825"/>
      <c r="S182" s="954">
        <f>S181/T182</f>
        <v>0.37368863181654954</v>
      </c>
      <c r="T182" s="951">
        <v>311888</v>
      </c>
    </row>
    <row r="184" spans="1:20" ht="15" hidden="1" customHeight="1" x14ac:dyDescent="0.25">
      <c r="B184" s="604" t="s">
        <v>200</v>
      </c>
      <c r="C184" s="605"/>
      <c r="D184" s="883"/>
      <c r="E184" s="605"/>
      <c r="F184" s="605"/>
      <c r="G184" s="605"/>
      <c r="H184" s="605"/>
      <c r="I184" s="605"/>
      <c r="J184" s="605"/>
      <c r="K184" s="605"/>
      <c r="L184" s="605"/>
      <c r="M184" s="605"/>
      <c r="N184" s="605"/>
      <c r="O184" s="605"/>
      <c r="P184" s="605"/>
      <c r="Q184" s="605"/>
      <c r="R184" s="605"/>
      <c r="S184" s="606"/>
    </row>
    <row r="185" spans="1:20" hidden="1" x14ac:dyDescent="0.25">
      <c r="B185" s="753" t="s">
        <v>174</v>
      </c>
      <c r="C185" s="754"/>
      <c r="D185" s="884"/>
      <c r="E185" s="754"/>
      <c r="F185" s="754"/>
      <c r="G185" s="754"/>
      <c r="H185" s="754"/>
      <c r="I185" s="754"/>
      <c r="J185" s="754"/>
      <c r="K185" s="754"/>
      <c r="L185" s="754"/>
      <c r="M185" s="754"/>
      <c r="N185" s="754"/>
      <c r="O185" s="754"/>
      <c r="P185" s="754"/>
      <c r="Q185" s="754"/>
      <c r="R185" s="754"/>
      <c r="S185" s="755"/>
    </row>
    <row r="186" spans="1:20" ht="15" hidden="1" customHeight="1" x14ac:dyDescent="0.25">
      <c r="B186" s="756" t="s">
        <v>181</v>
      </c>
      <c r="C186" s="920"/>
      <c r="D186" s="885"/>
      <c r="E186" s="757"/>
      <c r="F186" s="757"/>
      <c r="G186" s="757"/>
      <c r="H186" s="757"/>
      <c r="I186" s="757"/>
      <c r="J186" s="757"/>
      <c r="K186" s="757"/>
      <c r="L186" s="757"/>
      <c r="M186" s="757"/>
      <c r="N186" s="757"/>
      <c r="O186" s="757"/>
      <c r="P186" s="757"/>
      <c r="Q186" s="757"/>
      <c r="R186" s="757"/>
      <c r="S186" s="758"/>
    </row>
    <row r="187" spans="1:20" ht="15" hidden="1" customHeight="1" x14ac:dyDescent="0.25">
      <c r="B187" s="509" t="s">
        <v>4</v>
      </c>
      <c r="C187" s="750"/>
      <c r="E187" s="607"/>
      <c r="F187" s="608" t="s">
        <v>214</v>
      </c>
      <c r="G187" s="609" t="e">
        <f>AVERAGE(H187:S187)</f>
        <v>#DIV/0!</v>
      </c>
      <c r="H187" s="511"/>
      <c r="I187" s="512"/>
      <c r="J187" s="512"/>
      <c r="K187" s="512"/>
      <c r="L187" s="512"/>
      <c r="M187" s="512"/>
      <c r="N187" s="512"/>
      <c r="O187" s="610"/>
      <c r="P187" s="610"/>
      <c r="Q187" s="610"/>
      <c r="R187" s="610"/>
      <c r="S187" s="611"/>
    </row>
    <row r="188" spans="1:20" ht="15" hidden="1" customHeight="1" x14ac:dyDescent="0.25">
      <c r="B188" s="522" t="s">
        <v>177</v>
      </c>
      <c r="C188" s="750"/>
      <c r="E188" s="607"/>
      <c r="F188" s="612" t="s">
        <v>215</v>
      </c>
      <c r="G188" s="613" t="e">
        <f>AVERAGE(H188:S188)</f>
        <v>#DIV/0!</v>
      </c>
      <c r="H188" s="614"/>
      <c r="I188" s="614"/>
      <c r="J188" s="614"/>
      <c r="K188" s="614"/>
      <c r="L188" s="614"/>
      <c r="M188" s="614"/>
      <c r="N188" s="614"/>
      <c r="O188" s="615"/>
      <c r="P188" s="615"/>
      <c r="Q188" s="615"/>
      <c r="R188" s="615"/>
      <c r="S188" s="616"/>
    </row>
    <row r="189" spans="1:20" ht="15" hidden="1" customHeight="1" x14ac:dyDescent="0.25">
      <c r="B189" s="522" t="s">
        <v>180</v>
      </c>
      <c r="C189" s="750"/>
      <c r="E189" s="607"/>
      <c r="F189" s="612" t="s">
        <v>216</v>
      </c>
      <c r="G189" s="613" t="e">
        <f>((ROUND(G187/G188,0)&amp;" : "&amp;"1"))</f>
        <v>#DIV/0!</v>
      </c>
      <c r="H189" s="614" t="e">
        <f>((ROUND(H187/H188,0)&amp;" : "&amp;"1"))</f>
        <v>#DIV/0!</v>
      </c>
      <c r="I189" s="614" t="e">
        <f t="shared" ref="I189:S189" si="15">((ROUND(I187/I188,0)&amp;" : "&amp;"1"))</f>
        <v>#DIV/0!</v>
      </c>
      <c r="J189" s="614" t="e">
        <f t="shared" si="15"/>
        <v>#DIV/0!</v>
      </c>
      <c r="K189" s="614" t="e">
        <f t="shared" si="15"/>
        <v>#DIV/0!</v>
      </c>
      <c r="L189" s="614" t="e">
        <f t="shared" si="15"/>
        <v>#DIV/0!</v>
      </c>
      <c r="M189" s="614" t="e">
        <f t="shared" si="15"/>
        <v>#DIV/0!</v>
      </c>
      <c r="N189" s="614" t="e">
        <f t="shared" si="15"/>
        <v>#DIV/0!</v>
      </c>
      <c r="O189" s="614" t="e">
        <f t="shared" si="15"/>
        <v>#DIV/0!</v>
      </c>
      <c r="P189" s="614" t="e">
        <f t="shared" si="15"/>
        <v>#DIV/0!</v>
      </c>
      <c r="Q189" s="614" t="e">
        <f t="shared" si="15"/>
        <v>#DIV/0!</v>
      </c>
      <c r="R189" s="614" t="e">
        <f t="shared" si="15"/>
        <v>#DIV/0!</v>
      </c>
      <c r="S189" s="616" t="e">
        <f t="shared" si="15"/>
        <v>#DIV/0!</v>
      </c>
    </row>
    <row r="190" spans="1:20" ht="15" hidden="1" customHeight="1" x14ac:dyDescent="0.25">
      <c r="B190" s="514" t="s">
        <v>179</v>
      </c>
      <c r="C190" s="750"/>
      <c r="E190" s="607"/>
      <c r="F190" s="617" t="s">
        <v>184</v>
      </c>
      <c r="G190" s="618" t="s">
        <v>184</v>
      </c>
      <c r="H190" s="619" t="s">
        <v>184</v>
      </c>
      <c r="I190" s="619" t="s">
        <v>184</v>
      </c>
      <c r="J190" s="619" t="s">
        <v>184</v>
      </c>
      <c r="K190" s="619" t="s">
        <v>184</v>
      </c>
      <c r="L190" s="619" t="s">
        <v>184</v>
      </c>
      <c r="M190" s="619" t="s">
        <v>184</v>
      </c>
      <c r="N190" s="619" t="s">
        <v>184</v>
      </c>
      <c r="O190" s="619" t="s">
        <v>184</v>
      </c>
      <c r="P190" s="619" t="s">
        <v>184</v>
      </c>
      <c r="Q190" s="619" t="s">
        <v>184</v>
      </c>
      <c r="R190" s="619" t="s">
        <v>184</v>
      </c>
      <c r="S190" s="620" t="s">
        <v>184</v>
      </c>
    </row>
    <row r="191" spans="1:20" ht="15" hidden="1" customHeight="1" x14ac:dyDescent="0.25">
      <c r="B191" s="756" t="s">
        <v>191</v>
      </c>
      <c r="C191" s="920"/>
      <c r="D191" s="885"/>
      <c r="E191" s="621"/>
      <c r="F191" s="622"/>
      <c r="G191" s="622"/>
      <c r="H191" s="622"/>
      <c r="I191" s="622"/>
      <c r="J191" s="622"/>
      <c r="K191" s="622"/>
      <c r="L191" s="622"/>
      <c r="M191" s="622"/>
      <c r="N191" s="622"/>
      <c r="O191" s="622"/>
      <c r="P191" s="622"/>
      <c r="Q191" s="622"/>
      <c r="R191" s="622"/>
      <c r="S191" s="623"/>
    </row>
    <row r="192" spans="1:20" ht="15" hidden="1" customHeight="1" x14ac:dyDescent="0.25">
      <c r="B192" s="509" t="s">
        <v>178</v>
      </c>
      <c r="C192" s="750"/>
      <c r="E192" s="607"/>
      <c r="F192" s="608" t="s">
        <v>217</v>
      </c>
      <c r="G192" s="624" t="e">
        <f>AVERAGE(H192:S192)</f>
        <v>#DIV/0!</v>
      </c>
      <c r="H192" s="625"/>
      <c r="I192" s="625"/>
      <c r="J192" s="625"/>
      <c r="K192" s="625"/>
      <c r="L192" s="625"/>
      <c r="M192" s="625"/>
      <c r="N192" s="625"/>
      <c r="O192" s="625"/>
      <c r="P192" s="625"/>
      <c r="Q192" s="610"/>
      <c r="R192" s="610"/>
      <c r="S192" s="611"/>
    </row>
    <row r="193" spans="2:19" ht="15" hidden="1" customHeight="1" x14ac:dyDescent="0.25">
      <c r="B193" s="522" t="s">
        <v>177</v>
      </c>
      <c r="C193" s="750"/>
      <c r="E193" s="607"/>
      <c r="F193" s="612" t="s">
        <v>218</v>
      </c>
      <c r="G193" s="626" t="e">
        <f>AVERAGE(H193:S193)</f>
        <v>#DIV/0!</v>
      </c>
      <c r="H193" s="627"/>
      <c r="I193" s="627"/>
      <c r="J193" s="627"/>
      <c r="K193" s="627"/>
      <c r="L193" s="627"/>
      <c r="M193" s="627"/>
      <c r="N193" s="627"/>
      <c r="O193" s="627"/>
      <c r="P193" s="627"/>
      <c r="Q193" s="615"/>
      <c r="R193" s="615"/>
      <c r="S193" s="616"/>
    </row>
    <row r="194" spans="2:19" ht="15" hidden="1" customHeight="1" x14ac:dyDescent="0.25">
      <c r="B194" s="522" t="s">
        <v>180</v>
      </c>
      <c r="C194" s="750"/>
      <c r="E194" s="607"/>
      <c r="F194" s="612" t="s">
        <v>219</v>
      </c>
      <c r="G194" s="626" t="e">
        <f>((ROUND(G192/G193,0)&amp;" : "&amp;"1"))</f>
        <v>#DIV/0!</v>
      </c>
      <c r="H194" s="627" t="s">
        <v>136</v>
      </c>
      <c r="I194" s="627" t="s">
        <v>136</v>
      </c>
      <c r="J194" s="615" t="e">
        <f t="shared" ref="J194:S194" si="16">((ROUND(J192/J193,0)&amp;" : "&amp;"1"))</f>
        <v>#DIV/0!</v>
      </c>
      <c r="K194" s="615" t="e">
        <f t="shared" si="16"/>
        <v>#DIV/0!</v>
      </c>
      <c r="L194" s="615" t="e">
        <f t="shared" si="16"/>
        <v>#DIV/0!</v>
      </c>
      <c r="M194" s="615" t="e">
        <f t="shared" si="16"/>
        <v>#DIV/0!</v>
      </c>
      <c r="N194" s="615" t="e">
        <f t="shared" si="16"/>
        <v>#DIV/0!</v>
      </c>
      <c r="O194" s="615" t="e">
        <f t="shared" si="16"/>
        <v>#DIV/0!</v>
      </c>
      <c r="P194" s="615" t="e">
        <f t="shared" si="16"/>
        <v>#DIV/0!</v>
      </c>
      <c r="Q194" s="615" t="e">
        <f t="shared" si="16"/>
        <v>#DIV/0!</v>
      </c>
      <c r="R194" s="615" t="e">
        <f t="shared" si="16"/>
        <v>#DIV/0!</v>
      </c>
      <c r="S194" s="616" t="e">
        <f t="shared" si="16"/>
        <v>#DIV/0!</v>
      </c>
    </row>
    <row r="195" spans="2:19" ht="15" hidden="1" customHeight="1" x14ac:dyDescent="0.25">
      <c r="B195" s="514" t="s">
        <v>179</v>
      </c>
      <c r="C195" s="750"/>
      <c r="E195" s="607"/>
      <c r="F195" s="617" t="s">
        <v>185</v>
      </c>
      <c r="G195" s="618" t="s">
        <v>185</v>
      </c>
      <c r="H195" s="619" t="s">
        <v>185</v>
      </c>
      <c r="I195" s="619" t="s">
        <v>185</v>
      </c>
      <c r="J195" s="628" t="s">
        <v>185</v>
      </c>
      <c r="K195" s="628" t="s">
        <v>185</v>
      </c>
      <c r="L195" s="628" t="s">
        <v>185</v>
      </c>
      <c r="M195" s="628" t="s">
        <v>185</v>
      </c>
      <c r="N195" s="628" t="s">
        <v>185</v>
      </c>
      <c r="O195" s="628" t="s">
        <v>185</v>
      </c>
      <c r="P195" s="628" t="s">
        <v>185</v>
      </c>
      <c r="Q195" s="628" t="s">
        <v>185</v>
      </c>
      <c r="R195" s="628" t="s">
        <v>185</v>
      </c>
      <c r="S195" s="620" t="s">
        <v>185</v>
      </c>
    </row>
    <row r="196" spans="2:19" ht="15" hidden="1" customHeight="1" x14ac:dyDescent="0.25">
      <c r="B196" s="756" t="s">
        <v>182</v>
      </c>
      <c r="C196" s="920"/>
      <c r="D196" s="885"/>
      <c r="E196" s="621"/>
      <c r="F196" s="622"/>
      <c r="G196" s="622"/>
      <c r="H196" s="622"/>
      <c r="I196" s="622"/>
      <c r="J196" s="622"/>
      <c r="K196" s="622"/>
      <c r="L196" s="622"/>
      <c r="M196" s="622"/>
      <c r="N196" s="622"/>
      <c r="O196" s="622"/>
      <c r="P196" s="622"/>
      <c r="Q196" s="622"/>
      <c r="R196" s="622"/>
      <c r="S196" s="623"/>
    </row>
    <row r="197" spans="2:19" ht="15" hidden="1" customHeight="1" x14ac:dyDescent="0.25">
      <c r="B197" s="509" t="s">
        <v>178</v>
      </c>
      <c r="C197" s="750"/>
      <c r="E197" s="607"/>
      <c r="F197" s="608" t="s">
        <v>220</v>
      </c>
      <c r="G197" s="609" t="e">
        <f>AVERAGE(H197:S197)</f>
        <v>#DIV/0!</v>
      </c>
      <c r="H197" s="629"/>
      <c r="I197" s="512"/>
      <c r="J197" s="512"/>
      <c r="K197" s="512"/>
      <c r="L197" s="512"/>
      <c r="M197" s="512"/>
      <c r="N197" s="512"/>
      <c r="O197" s="610"/>
      <c r="P197" s="610"/>
      <c r="Q197" s="610"/>
      <c r="R197" s="610"/>
      <c r="S197" s="611"/>
    </row>
    <row r="198" spans="2:19" ht="15" hidden="1" customHeight="1" x14ac:dyDescent="0.25">
      <c r="B198" s="522" t="s">
        <v>177</v>
      </c>
      <c r="C198" s="750"/>
      <c r="E198" s="607"/>
      <c r="F198" s="612" t="s">
        <v>221</v>
      </c>
      <c r="G198" s="613" t="e">
        <f>AVERAGE(H198:S198)</f>
        <v>#DIV/0!</v>
      </c>
      <c r="H198" s="630"/>
      <c r="I198" s="520"/>
      <c r="J198" s="615"/>
      <c r="K198" s="520"/>
      <c r="L198" s="520"/>
      <c r="M198" s="520"/>
      <c r="N198" s="520"/>
      <c r="O198" s="615"/>
      <c r="P198" s="615"/>
      <c r="Q198" s="615"/>
      <c r="R198" s="615"/>
      <c r="S198" s="616"/>
    </row>
    <row r="199" spans="2:19" ht="15" hidden="1" customHeight="1" x14ac:dyDescent="0.25">
      <c r="B199" s="522" t="s">
        <v>180</v>
      </c>
      <c r="C199" s="750"/>
      <c r="E199" s="607"/>
      <c r="F199" s="612" t="s">
        <v>222</v>
      </c>
      <c r="G199" s="613" t="e">
        <f>((ROUND(G197/G198,0)&amp;" : "&amp;"1"))</f>
        <v>#DIV/0!</v>
      </c>
      <c r="H199" s="614" t="e">
        <f>((ROUND(H197/H198,0)&amp;" : "&amp;"1"))</f>
        <v>#DIV/0!</v>
      </c>
      <c r="I199" s="614" t="e">
        <f t="shared" ref="I199:O199" si="17">((ROUND(I197/I198,0)&amp;" : "&amp;"1"))</f>
        <v>#DIV/0!</v>
      </c>
      <c r="J199" s="614" t="e">
        <f t="shared" si="17"/>
        <v>#DIV/0!</v>
      </c>
      <c r="K199" s="614" t="e">
        <f t="shared" si="17"/>
        <v>#DIV/0!</v>
      </c>
      <c r="L199" s="614" t="e">
        <f t="shared" si="17"/>
        <v>#DIV/0!</v>
      </c>
      <c r="M199" s="614" t="e">
        <f t="shared" si="17"/>
        <v>#DIV/0!</v>
      </c>
      <c r="N199" s="614" t="e">
        <f t="shared" si="17"/>
        <v>#DIV/0!</v>
      </c>
      <c r="O199" s="614" t="e">
        <f t="shared" si="17"/>
        <v>#DIV/0!</v>
      </c>
      <c r="P199" s="614" t="e">
        <f>((ROUND(P197/P198,0)&amp;" : "&amp;"1"))</f>
        <v>#DIV/0!</v>
      </c>
      <c r="Q199" s="614" t="e">
        <f>((ROUND(Q197/Q198,0)&amp;" : "&amp;"1"))</f>
        <v>#DIV/0!</v>
      </c>
      <c r="R199" s="614" t="e">
        <f>((ROUND(R197/R198,0)&amp;" : "&amp;"1"))</f>
        <v>#DIV/0!</v>
      </c>
      <c r="S199" s="631" t="e">
        <f>((ROUND(S197/S198,0)&amp;" : "&amp;"1"))</f>
        <v>#DIV/0!</v>
      </c>
    </row>
    <row r="200" spans="2:19" ht="15" hidden="1" customHeight="1" x14ac:dyDescent="0.25">
      <c r="B200" s="514" t="s">
        <v>179</v>
      </c>
      <c r="C200" s="750"/>
      <c r="E200" s="607"/>
      <c r="F200" s="617" t="s">
        <v>185</v>
      </c>
      <c r="G200" s="618" t="s">
        <v>185</v>
      </c>
      <c r="H200" s="619" t="s">
        <v>185</v>
      </c>
      <c r="I200" s="619" t="s">
        <v>185</v>
      </c>
      <c r="J200" s="619" t="s">
        <v>185</v>
      </c>
      <c r="K200" s="619" t="s">
        <v>185</v>
      </c>
      <c r="L200" s="619" t="s">
        <v>185</v>
      </c>
      <c r="M200" s="619" t="s">
        <v>185</v>
      </c>
      <c r="N200" s="619" t="s">
        <v>185</v>
      </c>
      <c r="O200" s="619" t="s">
        <v>185</v>
      </c>
      <c r="P200" s="619" t="s">
        <v>185</v>
      </c>
      <c r="Q200" s="619" t="s">
        <v>185</v>
      </c>
      <c r="R200" s="619" t="s">
        <v>185</v>
      </c>
      <c r="S200" s="632" t="s">
        <v>185</v>
      </c>
    </row>
    <row r="201" spans="2:19" hidden="1" x14ac:dyDescent="0.25">
      <c r="B201" s="753" t="s">
        <v>183</v>
      </c>
      <c r="C201" s="754"/>
      <c r="D201" s="884"/>
      <c r="E201" s="633"/>
      <c r="F201" s="634"/>
      <c r="G201" s="634"/>
      <c r="H201" s="634"/>
      <c r="I201" s="634"/>
      <c r="J201" s="634"/>
      <c r="K201" s="634"/>
      <c r="L201" s="634"/>
      <c r="M201" s="634"/>
      <c r="N201" s="634"/>
      <c r="O201" s="634"/>
      <c r="P201" s="634"/>
      <c r="Q201" s="634"/>
      <c r="R201" s="634"/>
      <c r="S201" s="635"/>
    </row>
    <row r="202" spans="2:19" ht="15" hidden="1" customHeight="1" x14ac:dyDescent="0.25">
      <c r="B202" s="756" t="s">
        <v>175</v>
      </c>
      <c r="C202" s="920"/>
      <c r="D202" s="885"/>
      <c r="E202" s="621"/>
      <c r="F202" s="622"/>
      <c r="G202" s="622"/>
      <c r="H202" s="622"/>
      <c r="I202" s="622"/>
      <c r="J202" s="622"/>
      <c r="K202" s="622"/>
      <c r="L202" s="622"/>
      <c r="M202" s="622"/>
      <c r="N202" s="622"/>
      <c r="O202" s="622"/>
      <c r="P202" s="622"/>
      <c r="Q202" s="622"/>
      <c r="R202" s="622"/>
      <c r="S202" s="623"/>
    </row>
    <row r="203" spans="2:19" ht="15" hidden="1" customHeight="1" x14ac:dyDescent="0.25">
      <c r="B203" s="509" t="s">
        <v>178</v>
      </c>
      <c r="C203" s="750"/>
      <c r="E203" s="607"/>
      <c r="F203" s="608" t="s">
        <v>223</v>
      </c>
      <c r="G203" s="609" t="e">
        <f>AVERAGE(H203:S203)</f>
        <v>#DIV/0!</v>
      </c>
      <c r="H203" s="629"/>
      <c r="I203" s="512"/>
      <c r="J203" s="512"/>
      <c r="K203" s="512"/>
      <c r="L203" s="512"/>
      <c r="M203" s="512"/>
      <c r="N203" s="512"/>
      <c r="O203" s="610"/>
      <c r="P203" s="610"/>
      <c r="Q203" s="610"/>
      <c r="R203" s="610"/>
      <c r="S203" s="611"/>
    </row>
    <row r="204" spans="2:19" ht="15" hidden="1" customHeight="1" x14ac:dyDescent="0.25">
      <c r="B204" s="522" t="s">
        <v>177</v>
      </c>
      <c r="C204" s="750"/>
      <c r="E204" s="607"/>
      <c r="F204" s="612" t="s">
        <v>224</v>
      </c>
      <c r="G204" s="613" t="e">
        <f>AVERAGE(H204:S204)</f>
        <v>#DIV/0!</v>
      </c>
      <c r="H204" s="614"/>
      <c r="I204" s="615"/>
      <c r="J204" s="615"/>
      <c r="K204" s="615"/>
      <c r="L204" s="615"/>
      <c r="M204" s="615"/>
      <c r="N204" s="615"/>
      <c r="O204" s="615"/>
      <c r="P204" s="615"/>
      <c r="Q204" s="615"/>
      <c r="R204" s="615"/>
      <c r="S204" s="616"/>
    </row>
    <row r="205" spans="2:19" ht="15" hidden="1" customHeight="1" x14ac:dyDescent="0.25">
      <c r="B205" s="522" t="s">
        <v>180</v>
      </c>
      <c r="C205" s="750"/>
      <c r="E205" s="607"/>
      <c r="F205" s="612" t="s">
        <v>225</v>
      </c>
      <c r="G205" s="613" t="e">
        <f>((ROUND(G203/G204,0)&amp;" : "&amp;"1"))</f>
        <v>#DIV/0!</v>
      </c>
      <c r="H205" s="614" t="e">
        <f>((ROUND(H203/H204,0)&amp;" : "&amp;"1"))</f>
        <v>#DIV/0!</v>
      </c>
      <c r="I205" s="614" t="e">
        <f t="shared" ref="I205:S205" si="18">((ROUND(I203/I204,0)&amp;" : "&amp;"1"))</f>
        <v>#DIV/0!</v>
      </c>
      <c r="J205" s="614" t="e">
        <f t="shared" si="18"/>
        <v>#DIV/0!</v>
      </c>
      <c r="K205" s="614" t="e">
        <f t="shared" si="18"/>
        <v>#DIV/0!</v>
      </c>
      <c r="L205" s="614" t="e">
        <f t="shared" si="18"/>
        <v>#DIV/0!</v>
      </c>
      <c r="M205" s="614" t="e">
        <f t="shared" si="18"/>
        <v>#DIV/0!</v>
      </c>
      <c r="N205" s="614" t="e">
        <f t="shared" si="18"/>
        <v>#DIV/0!</v>
      </c>
      <c r="O205" s="614" t="e">
        <f t="shared" si="18"/>
        <v>#DIV/0!</v>
      </c>
      <c r="P205" s="614" t="e">
        <f t="shared" si="18"/>
        <v>#DIV/0!</v>
      </c>
      <c r="Q205" s="614" t="e">
        <f t="shared" si="18"/>
        <v>#DIV/0!</v>
      </c>
      <c r="R205" s="614" t="e">
        <f t="shared" si="18"/>
        <v>#DIV/0!</v>
      </c>
      <c r="S205" s="631" t="e">
        <f t="shared" si="18"/>
        <v>#DIV/0!</v>
      </c>
    </row>
    <row r="206" spans="2:19" ht="15" hidden="1" customHeight="1" x14ac:dyDescent="0.25">
      <c r="B206" s="514" t="s">
        <v>179</v>
      </c>
      <c r="C206" s="750"/>
      <c r="E206" s="607"/>
      <c r="F206" s="617" t="s">
        <v>186</v>
      </c>
      <c r="G206" s="618" t="s">
        <v>186</v>
      </c>
      <c r="H206" s="619" t="s">
        <v>186</v>
      </c>
      <c r="I206" s="619" t="s">
        <v>186</v>
      </c>
      <c r="J206" s="619" t="s">
        <v>186</v>
      </c>
      <c r="K206" s="619" t="s">
        <v>186</v>
      </c>
      <c r="L206" s="619" t="s">
        <v>186</v>
      </c>
      <c r="M206" s="619" t="s">
        <v>186</v>
      </c>
      <c r="N206" s="619" t="s">
        <v>186</v>
      </c>
      <c r="O206" s="619" t="s">
        <v>186</v>
      </c>
      <c r="P206" s="619" t="s">
        <v>186</v>
      </c>
      <c r="Q206" s="619" t="s">
        <v>186</v>
      </c>
      <c r="R206" s="619" t="s">
        <v>186</v>
      </c>
      <c r="S206" s="632" t="s">
        <v>186</v>
      </c>
    </row>
    <row r="207" spans="2:19" ht="15" hidden="1" customHeight="1" x14ac:dyDescent="0.25">
      <c r="B207" s="756" t="s">
        <v>176</v>
      </c>
      <c r="C207" s="920"/>
      <c r="D207" s="885"/>
      <c r="E207" s="621"/>
      <c r="F207" s="622"/>
      <c r="G207" s="622"/>
      <c r="H207" s="622"/>
      <c r="I207" s="622"/>
      <c r="J207" s="622"/>
      <c r="K207" s="622"/>
      <c r="L207" s="622"/>
      <c r="M207" s="622"/>
      <c r="N207" s="622"/>
      <c r="O207" s="622"/>
      <c r="P207" s="622"/>
      <c r="Q207" s="622"/>
      <c r="R207" s="622"/>
      <c r="S207" s="623"/>
    </row>
    <row r="208" spans="2:19" ht="15" hidden="1" customHeight="1" x14ac:dyDescent="0.25">
      <c r="B208" s="509" t="s">
        <v>178</v>
      </c>
      <c r="C208" s="750"/>
      <c r="E208" s="607"/>
      <c r="F208" s="608" t="s">
        <v>226</v>
      </c>
      <c r="G208" s="609" t="e">
        <f>AVERAGE(H208:S208)</f>
        <v>#DIV/0!</v>
      </c>
      <c r="H208" s="636"/>
      <c r="I208" s="610"/>
      <c r="J208" s="610"/>
      <c r="K208" s="610"/>
      <c r="L208" s="610"/>
      <c r="M208" s="610"/>
      <c r="N208" s="610"/>
      <c r="O208" s="610"/>
      <c r="P208" s="610"/>
      <c r="Q208" s="610"/>
      <c r="R208" s="610"/>
      <c r="S208" s="611"/>
    </row>
    <row r="209" spans="2:19" ht="15" hidden="1" customHeight="1" x14ac:dyDescent="0.25">
      <c r="B209" s="522" t="s">
        <v>177</v>
      </c>
      <c r="C209" s="750"/>
      <c r="E209" s="607"/>
      <c r="F209" s="612" t="s">
        <v>227</v>
      </c>
      <c r="G209" s="613" t="e">
        <f>AVERAGE(H209:S209)</f>
        <v>#DIV/0!</v>
      </c>
      <c r="H209" s="614"/>
      <c r="I209" s="615"/>
      <c r="J209" s="615"/>
      <c r="K209" s="615"/>
      <c r="L209" s="615"/>
      <c r="M209" s="615"/>
      <c r="N209" s="615"/>
      <c r="O209" s="615"/>
      <c r="P209" s="615"/>
      <c r="Q209" s="615"/>
      <c r="R209" s="615"/>
      <c r="S209" s="616"/>
    </row>
    <row r="210" spans="2:19" ht="15" hidden="1" customHeight="1" x14ac:dyDescent="0.25">
      <c r="B210" s="522" t="s">
        <v>180</v>
      </c>
      <c r="C210" s="750"/>
      <c r="E210" s="607"/>
      <c r="F210" s="612" t="s">
        <v>222</v>
      </c>
      <c r="G210" s="613" t="e">
        <f>((ROUND(G208/G209,0)&amp;" : "&amp;"1"))</f>
        <v>#DIV/0!</v>
      </c>
      <c r="H210" s="614" t="e">
        <f>((ROUND(H208/H209,0)&amp;" : "&amp;"1"))</f>
        <v>#DIV/0!</v>
      </c>
      <c r="I210" s="614" t="e">
        <f t="shared" ref="I210:S210" si="19">((ROUND(I208/I209,0)&amp;" : "&amp;"1"))</f>
        <v>#DIV/0!</v>
      </c>
      <c r="J210" s="614" t="e">
        <f t="shared" si="19"/>
        <v>#DIV/0!</v>
      </c>
      <c r="K210" s="614" t="e">
        <f t="shared" si="19"/>
        <v>#DIV/0!</v>
      </c>
      <c r="L210" s="614" t="e">
        <f t="shared" si="19"/>
        <v>#DIV/0!</v>
      </c>
      <c r="M210" s="614" t="e">
        <f t="shared" si="19"/>
        <v>#DIV/0!</v>
      </c>
      <c r="N210" s="614" t="e">
        <f t="shared" si="19"/>
        <v>#DIV/0!</v>
      </c>
      <c r="O210" s="614" t="e">
        <f t="shared" si="19"/>
        <v>#DIV/0!</v>
      </c>
      <c r="P210" s="614" t="e">
        <f t="shared" si="19"/>
        <v>#DIV/0!</v>
      </c>
      <c r="Q210" s="614" t="e">
        <f t="shared" si="19"/>
        <v>#DIV/0!</v>
      </c>
      <c r="R210" s="614" t="e">
        <f t="shared" si="19"/>
        <v>#DIV/0!</v>
      </c>
      <c r="S210" s="631" t="e">
        <f t="shared" si="19"/>
        <v>#DIV/0!</v>
      </c>
    </row>
    <row r="211" spans="2:19" ht="15" hidden="1" customHeight="1" x14ac:dyDescent="0.25">
      <c r="B211" s="759" t="s">
        <v>179</v>
      </c>
      <c r="C211" s="914"/>
      <c r="D211" s="880"/>
      <c r="E211" s="637"/>
      <c r="F211" s="638" t="s">
        <v>186</v>
      </c>
      <c r="G211" s="639" t="s">
        <v>186</v>
      </c>
      <c r="H211" s="640" t="s">
        <v>186</v>
      </c>
      <c r="I211" s="640" t="s">
        <v>186</v>
      </c>
      <c r="J211" s="640" t="s">
        <v>186</v>
      </c>
      <c r="K211" s="640" t="s">
        <v>186</v>
      </c>
      <c r="L211" s="640" t="s">
        <v>186</v>
      </c>
      <c r="M211" s="640" t="s">
        <v>186</v>
      </c>
      <c r="N211" s="640" t="s">
        <v>186</v>
      </c>
      <c r="O211" s="640" t="s">
        <v>186</v>
      </c>
      <c r="P211" s="640" t="s">
        <v>186</v>
      </c>
      <c r="Q211" s="640" t="s">
        <v>186</v>
      </c>
      <c r="R211" s="640" t="s">
        <v>186</v>
      </c>
      <c r="S211" s="641" t="s">
        <v>186</v>
      </c>
    </row>
    <row r="212" spans="2:19" hidden="1" x14ac:dyDescent="0.25">
      <c r="B212" s="753" t="s">
        <v>43</v>
      </c>
      <c r="C212" s="754"/>
      <c r="D212" s="884"/>
      <c r="E212" s="633"/>
      <c r="F212" s="634"/>
      <c r="G212" s="633"/>
      <c r="H212" s="633"/>
      <c r="I212" s="633"/>
      <c r="J212" s="633"/>
      <c r="K212" s="633"/>
      <c r="L212" s="633"/>
      <c r="M212" s="633"/>
      <c r="N212" s="633"/>
      <c r="O212" s="633"/>
      <c r="P212" s="633"/>
      <c r="Q212" s="633"/>
      <c r="R212" s="633"/>
      <c r="S212" s="642"/>
    </row>
    <row r="213" spans="2:19" ht="15" hidden="1" customHeight="1" x14ac:dyDescent="0.25">
      <c r="B213" s="756" t="s">
        <v>44</v>
      </c>
      <c r="C213" s="920"/>
      <c r="D213" s="885"/>
      <c r="E213" s="621"/>
      <c r="F213" s="622"/>
      <c r="G213" s="621"/>
      <c r="H213" s="621"/>
      <c r="I213" s="621"/>
      <c r="J213" s="621"/>
      <c r="K213" s="621"/>
      <c r="L213" s="621"/>
      <c r="M213" s="621"/>
      <c r="N213" s="621"/>
      <c r="O213" s="621"/>
      <c r="P213" s="621"/>
      <c r="Q213" s="621"/>
      <c r="R213" s="621"/>
      <c r="S213" s="643"/>
    </row>
    <row r="214" spans="2:19" ht="15" hidden="1" customHeight="1" x14ac:dyDescent="0.25">
      <c r="B214" s="509" t="s">
        <v>178</v>
      </c>
      <c r="C214" s="750"/>
      <c r="E214" s="607"/>
      <c r="F214" s="608" t="s">
        <v>228</v>
      </c>
      <c r="G214" s="609" t="e">
        <f>AVERAGE(H214:S214)</f>
        <v>#DIV/0!</v>
      </c>
      <c r="H214" s="636"/>
      <c r="I214" s="610"/>
      <c r="J214" s="610"/>
      <c r="K214" s="610"/>
      <c r="L214" s="610"/>
      <c r="M214" s="610"/>
      <c r="N214" s="610"/>
      <c r="O214" s="610"/>
      <c r="P214" s="610"/>
      <c r="Q214" s="610"/>
      <c r="R214" s="610"/>
      <c r="S214" s="611"/>
    </row>
    <row r="215" spans="2:19" ht="15" hidden="1" customHeight="1" x14ac:dyDescent="0.25">
      <c r="B215" s="522" t="s">
        <v>177</v>
      </c>
      <c r="C215" s="750"/>
      <c r="E215" s="607"/>
      <c r="F215" s="612" t="s">
        <v>210</v>
      </c>
      <c r="G215" s="613" t="e">
        <f>AVERAGE(H215:S215)</f>
        <v>#DIV/0!</v>
      </c>
      <c r="H215" s="614"/>
      <c r="I215" s="615"/>
      <c r="J215" s="615"/>
      <c r="K215" s="615"/>
      <c r="L215" s="615"/>
      <c r="M215" s="615"/>
      <c r="N215" s="615"/>
      <c r="O215" s="615"/>
      <c r="P215" s="615"/>
      <c r="Q215" s="615"/>
      <c r="R215" s="615"/>
      <c r="S215" s="616"/>
    </row>
    <row r="216" spans="2:19" ht="15" hidden="1" customHeight="1" x14ac:dyDescent="0.25">
      <c r="B216" s="522" t="s">
        <v>180</v>
      </c>
      <c r="C216" s="750"/>
      <c r="E216" s="607"/>
      <c r="F216" s="612" t="s">
        <v>229</v>
      </c>
      <c r="G216" s="613" t="e">
        <f>((ROUND(G214/G215,0)&amp;" : "&amp;"1"))</f>
        <v>#DIV/0!</v>
      </c>
      <c r="H216" s="614" t="e">
        <f>((ROUND(H214/H215,0)&amp;" : "&amp;"1"))</f>
        <v>#DIV/0!</v>
      </c>
      <c r="I216" s="614" t="e">
        <f t="shared" ref="I216:S216" si="20">((ROUND(I214/I215,0)&amp;" : "&amp;"1"))</f>
        <v>#DIV/0!</v>
      </c>
      <c r="J216" s="614" t="e">
        <f t="shared" si="20"/>
        <v>#DIV/0!</v>
      </c>
      <c r="K216" s="614" t="e">
        <f t="shared" si="20"/>
        <v>#DIV/0!</v>
      </c>
      <c r="L216" s="614" t="e">
        <f t="shared" si="20"/>
        <v>#DIV/0!</v>
      </c>
      <c r="M216" s="614" t="e">
        <f t="shared" si="20"/>
        <v>#DIV/0!</v>
      </c>
      <c r="N216" s="614" t="e">
        <f t="shared" si="20"/>
        <v>#DIV/0!</v>
      </c>
      <c r="O216" s="614" t="e">
        <f t="shared" si="20"/>
        <v>#DIV/0!</v>
      </c>
      <c r="P216" s="614" t="e">
        <f t="shared" si="20"/>
        <v>#DIV/0!</v>
      </c>
      <c r="Q216" s="614" t="e">
        <f t="shared" si="20"/>
        <v>#DIV/0!</v>
      </c>
      <c r="R216" s="614" t="e">
        <f t="shared" si="20"/>
        <v>#DIV/0!</v>
      </c>
      <c r="S216" s="616" t="e">
        <f t="shared" si="20"/>
        <v>#DIV/0!</v>
      </c>
    </row>
    <row r="217" spans="2:19" ht="15" hidden="1" customHeight="1" x14ac:dyDescent="0.25">
      <c r="B217" s="514" t="s">
        <v>179</v>
      </c>
      <c r="C217" s="750"/>
      <c r="E217" s="607"/>
      <c r="F217" s="617" t="s">
        <v>187</v>
      </c>
      <c r="G217" s="644" t="s">
        <v>187</v>
      </c>
      <c r="H217" s="645" t="s">
        <v>187</v>
      </c>
      <c r="I217" s="645" t="s">
        <v>187</v>
      </c>
      <c r="J217" s="645" t="s">
        <v>187</v>
      </c>
      <c r="K217" s="645" t="s">
        <v>187</v>
      </c>
      <c r="L217" s="645" t="s">
        <v>187</v>
      </c>
      <c r="M217" s="645" t="s">
        <v>187</v>
      </c>
      <c r="N217" s="645" t="s">
        <v>187</v>
      </c>
      <c r="O217" s="645" t="s">
        <v>187</v>
      </c>
      <c r="P217" s="645" t="s">
        <v>187</v>
      </c>
      <c r="Q217" s="645" t="s">
        <v>187</v>
      </c>
      <c r="R217" s="645" t="s">
        <v>187</v>
      </c>
      <c r="S217" s="646" t="s">
        <v>187</v>
      </c>
    </row>
    <row r="218" spans="2:19" ht="15" hidden="1" customHeight="1" x14ac:dyDescent="0.25">
      <c r="B218" s="756" t="s">
        <v>114</v>
      </c>
      <c r="C218" s="920"/>
      <c r="D218" s="885"/>
      <c r="E218" s="621"/>
      <c r="F218" s="622"/>
      <c r="G218" s="621"/>
      <c r="H218" s="621"/>
      <c r="I218" s="621"/>
      <c r="J218" s="621"/>
      <c r="K218" s="621"/>
      <c r="L218" s="621"/>
      <c r="M218" s="621"/>
      <c r="N218" s="621"/>
      <c r="O218" s="621"/>
      <c r="P218" s="621"/>
      <c r="Q218" s="621"/>
      <c r="R218" s="621"/>
      <c r="S218" s="643"/>
    </row>
    <row r="219" spans="2:19" ht="15" hidden="1" customHeight="1" x14ac:dyDescent="0.25">
      <c r="B219" s="509" t="s">
        <v>178</v>
      </c>
      <c r="C219" s="750"/>
      <c r="E219" s="607"/>
      <c r="F219" s="608" t="s">
        <v>230</v>
      </c>
      <c r="G219" s="609" t="e">
        <f>AVERAGE(H219:S219)</f>
        <v>#DIV/0!</v>
      </c>
      <c r="H219" s="636"/>
      <c r="I219" s="610"/>
      <c r="J219" s="610"/>
      <c r="K219" s="610"/>
      <c r="L219" s="610"/>
      <c r="M219" s="610"/>
      <c r="N219" s="610"/>
      <c r="O219" s="610"/>
      <c r="P219" s="610"/>
      <c r="Q219" s="610"/>
      <c r="R219" s="610"/>
      <c r="S219" s="611"/>
    </row>
    <row r="220" spans="2:19" ht="15" hidden="1" customHeight="1" x14ac:dyDescent="0.25">
      <c r="B220" s="522" t="s">
        <v>177</v>
      </c>
      <c r="C220" s="750"/>
      <c r="E220" s="607"/>
      <c r="F220" s="612" t="s">
        <v>231</v>
      </c>
      <c r="G220" s="613" t="e">
        <f>AVERAGE(H220:S220)</f>
        <v>#DIV/0!</v>
      </c>
      <c r="H220" s="614"/>
      <c r="I220" s="615"/>
      <c r="J220" s="615"/>
      <c r="K220" s="615"/>
      <c r="L220" s="615"/>
      <c r="M220" s="615"/>
      <c r="N220" s="615"/>
      <c r="O220" s="615"/>
      <c r="P220" s="615"/>
      <c r="Q220" s="615"/>
      <c r="R220" s="615"/>
      <c r="S220" s="616"/>
    </row>
    <row r="221" spans="2:19" ht="15" hidden="1" customHeight="1" x14ac:dyDescent="0.25">
      <c r="B221" s="522" t="s">
        <v>180</v>
      </c>
      <c r="C221" s="750"/>
      <c r="E221" s="607"/>
      <c r="F221" s="612" t="s">
        <v>187</v>
      </c>
      <c r="G221" s="613" t="e">
        <f>((ROUND(G219/G220,0)&amp;" : "&amp;"1"))</f>
        <v>#DIV/0!</v>
      </c>
      <c r="H221" s="614" t="e">
        <f>((ROUND(H219/H220,0)&amp;" : "&amp;"1"))</f>
        <v>#DIV/0!</v>
      </c>
      <c r="I221" s="614" t="e">
        <f t="shared" ref="I221:S221" si="21">((ROUND(I219/I220,0)&amp;" : "&amp;"1"))</f>
        <v>#DIV/0!</v>
      </c>
      <c r="J221" s="614" t="e">
        <f t="shared" si="21"/>
        <v>#DIV/0!</v>
      </c>
      <c r="K221" s="614" t="e">
        <f t="shared" si="21"/>
        <v>#DIV/0!</v>
      </c>
      <c r="L221" s="614" t="e">
        <f t="shared" si="21"/>
        <v>#DIV/0!</v>
      </c>
      <c r="M221" s="614" t="e">
        <f t="shared" si="21"/>
        <v>#DIV/0!</v>
      </c>
      <c r="N221" s="614" t="e">
        <f t="shared" si="21"/>
        <v>#DIV/0!</v>
      </c>
      <c r="O221" s="614" t="e">
        <f t="shared" si="21"/>
        <v>#DIV/0!</v>
      </c>
      <c r="P221" s="614" t="e">
        <f t="shared" si="21"/>
        <v>#DIV/0!</v>
      </c>
      <c r="Q221" s="614" t="e">
        <f t="shared" si="21"/>
        <v>#DIV/0!</v>
      </c>
      <c r="R221" s="614" t="e">
        <f t="shared" si="21"/>
        <v>#DIV/0!</v>
      </c>
      <c r="S221" s="616" t="e">
        <f t="shared" si="21"/>
        <v>#DIV/0!</v>
      </c>
    </row>
    <row r="222" spans="2:19" ht="15" hidden="1" customHeight="1" x14ac:dyDescent="0.25">
      <c r="B222" s="514" t="s">
        <v>179</v>
      </c>
      <c r="C222" s="750"/>
      <c r="E222" s="607"/>
      <c r="F222" s="617" t="s">
        <v>188</v>
      </c>
      <c r="G222" s="644" t="s">
        <v>188</v>
      </c>
      <c r="H222" s="645" t="s">
        <v>188</v>
      </c>
      <c r="I222" s="645" t="s">
        <v>188</v>
      </c>
      <c r="J222" s="645" t="s">
        <v>188</v>
      </c>
      <c r="K222" s="645" t="s">
        <v>188</v>
      </c>
      <c r="L222" s="645" t="s">
        <v>188</v>
      </c>
      <c r="M222" s="645" t="s">
        <v>188</v>
      </c>
      <c r="N222" s="645" t="s">
        <v>188</v>
      </c>
      <c r="O222" s="645" t="s">
        <v>188</v>
      </c>
      <c r="P222" s="645" t="s">
        <v>188</v>
      </c>
      <c r="Q222" s="645" t="s">
        <v>188</v>
      </c>
      <c r="R222" s="645" t="s">
        <v>188</v>
      </c>
      <c r="S222" s="646" t="s">
        <v>188</v>
      </c>
    </row>
    <row r="223" spans="2:19" ht="15" hidden="1" customHeight="1" x14ac:dyDescent="0.25">
      <c r="B223" s="756" t="s">
        <v>203</v>
      </c>
      <c r="C223" s="920"/>
      <c r="D223" s="885"/>
      <c r="E223" s="621"/>
      <c r="F223" s="622"/>
      <c r="G223" s="621"/>
      <c r="H223" s="621"/>
      <c r="I223" s="621"/>
      <c r="J223" s="621"/>
      <c r="K223" s="621"/>
      <c r="L223" s="621"/>
      <c r="M223" s="621"/>
      <c r="N223" s="621"/>
      <c r="O223" s="621"/>
      <c r="P223" s="621"/>
      <c r="Q223" s="621"/>
      <c r="R223" s="621"/>
      <c r="S223" s="643"/>
    </row>
    <row r="224" spans="2:19" ht="15" hidden="1" customHeight="1" x14ac:dyDescent="0.25">
      <c r="B224" s="509" t="s">
        <v>178</v>
      </c>
      <c r="C224" s="750"/>
      <c r="E224" s="647"/>
      <c r="F224" s="608" t="s">
        <v>232</v>
      </c>
      <c r="G224" s="609" t="e">
        <f>AVERAGE(H224:S224)</f>
        <v>#DIV/0!</v>
      </c>
      <c r="H224" s="636"/>
      <c r="I224" s="610"/>
      <c r="J224" s="610"/>
      <c r="K224" s="610"/>
      <c r="L224" s="648"/>
      <c r="M224" s="610"/>
      <c r="N224" s="610"/>
      <c r="O224" s="610"/>
      <c r="P224" s="610"/>
      <c r="Q224" s="610"/>
      <c r="R224" s="610"/>
      <c r="S224" s="611"/>
    </row>
    <row r="225" spans="2:19" ht="15" hidden="1" customHeight="1" x14ac:dyDescent="0.25">
      <c r="B225" s="522" t="s">
        <v>177</v>
      </c>
      <c r="C225" s="750"/>
      <c r="E225" s="607"/>
      <c r="F225" s="612" t="s">
        <v>218</v>
      </c>
      <c r="G225" s="613" t="e">
        <f>AVERAGE(H225:S225)</f>
        <v>#DIV/0!</v>
      </c>
      <c r="H225" s="614"/>
      <c r="I225" s="615"/>
      <c r="J225" s="615"/>
      <c r="K225" s="615"/>
      <c r="L225" s="648"/>
      <c r="M225" s="615"/>
      <c r="N225" s="615"/>
      <c r="O225" s="615"/>
      <c r="P225" s="615"/>
      <c r="Q225" s="615"/>
      <c r="R225" s="615"/>
      <c r="S225" s="616"/>
    </row>
    <row r="226" spans="2:19" ht="15" hidden="1" customHeight="1" x14ac:dyDescent="0.25">
      <c r="B226" s="522" t="s">
        <v>180</v>
      </c>
      <c r="C226" s="750"/>
      <c r="E226" s="607"/>
      <c r="F226" s="612" t="s">
        <v>233</v>
      </c>
      <c r="G226" s="613" t="e">
        <f>((ROUND(G224/G225,0)&amp;" : "&amp;"1"))</f>
        <v>#DIV/0!</v>
      </c>
      <c r="H226" s="614" t="e">
        <f>((ROUND(H224/H225,0)&amp;" : "&amp;"1"))</f>
        <v>#DIV/0!</v>
      </c>
      <c r="I226" s="614" t="e">
        <f t="shared" ref="I226:S226" si="22">((ROUND(I224/I225,0)&amp;" : "&amp;"1"))</f>
        <v>#DIV/0!</v>
      </c>
      <c r="J226" s="614" t="e">
        <f t="shared" si="22"/>
        <v>#DIV/0!</v>
      </c>
      <c r="K226" s="614" t="e">
        <f t="shared" si="22"/>
        <v>#DIV/0!</v>
      </c>
      <c r="L226" s="614" t="e">
        <f t="shared" si="22"/>
        <v>#DIV/0!</v>
      </c>
      <c r="M226" s="614" t="e">
        <f t="shared" si="22"/>
        <v>#DIV/0!</v>
      </c>
      <c r="N226" s="614" t="e">
        <f t="shared" si="22"/>
        <v>#DIV/0!</v>
      </c>
      <c r="O226" s="614" t="e">
        <f t="shared" si="22"/>
        <v>#DIV/0!</v>
      </c>
      <c r="P226" s="614" t="e">
        <f t="shared" si="22"/>
        <v>#DIV/0!</v>
      </c>
      <c r="Q226" s="614" t="e">
        <f t="shared" si="22"/>
        <v>#DIV/0!</v>
      </c>
      <c r="R226" s="614" t="e">
        <f t="shared" si="22"/>
        <v>#DIV/0!</v>
      </c>
      <c r="S226" s="631" t="e">
        <f t="shared" si="22"/>
        <v>#DIV/0!</v>
      </c>
    </row>
    <row r="227" spans="2:19" ht="15" hidden="1" customHeight="1" x14ac:dyDescent="0.25">
      <c r="B227" s="514" t="s">
        <v>179</v>
      </c>
      <c r="C227" s="750"/>
      <c r="E227" s="607"/>
      <c r="F227" s="617" t="s">
        <v>189</v>
      </c>
      <c r="G227" s="644" t="s">
        <v>189</v>
      </c>
      <c r="H227" s="645" t="s">
        <v>189</v>
      </c>
      <c r="I227" s="645" t="s">
        <v>189</v>
      </c>
      <c r="J227" s="645" t="s">
        <v>189</v>
      </c>
      <c r="K227" s="645" t="s">
        <v>189</v>
      </c>
      <c r="L227" s="645" t="s">
        <v>189</v>
      </c>
      <c r="M227" s="645" t="s">
        <v>189</v>
      </c>
      <c r="N227" s="645" t="s">
        <v>189</v>
      </c>
      <c r="O227" s="645" t="s">
        <v>189</v>
      </c>
      <c r="P227" s="645" t="s">
        <v>189</v>
      </c>
      <c r="Q227" s="645" t="s">
        <v>189</v>
      </c>
      <c r="R227" s="645" t="s">
        <v>189</v>
      </c>
      <c r="S227" s="649" t="s">
        <v>189</v>
      </c>
    </row>
    <row r="228" spans="2:19" ht="15" hidden="1" customHeight="1" x14ac:dyDescent="0.25">
      <c r="B228" s="756" t="s">
        <v>201</v>
      </c>
      <c r="C228" s="920"/>
      <c r="D228" s="885"/>
      <c r="E228" s="621"/>
      <c r="F228" s="622"/>
      <c r="G228" s="650"/>
      <c r="H228" s="621"/>
      <c r="I228" s="621"/>
      <c r="J228" s="621"/>
      <c r="K228" s="1047"/>
      <c r="L228" s="1047"/>
      <c r="M228" s="621"/>
      <c r="N228" s="621"/>
      <c r="O228" s="621"/>
      <c r="P228" s="621"/>
      <c r="Q228" s="621"/>
      <c r="R228" s="621"/>
      <c r="S228" s="643"/>
    </row>
    <row r="229" spans="2:19" ht="15" hidden="1" customHeight="1" x14ac:dyDescent="0.25">
      <c r="B229" s="509" t="s">
        <v>178</v>
      </c>
      <c r="C229" s="750"/>
      <c r="E229" s="607"/>
      <c r="F229" s="608" t="s">
        <v>234</v>
      </c>
      <c r="G229" s="609" t="e">
        <f>AVERAGE(H229:N229)</f>
        <v>#DIV/0!</v>
      </c>
      <c r="H229" s="636"/>
      <c r="I229" s="610"/>
      <c r="J229" s="610"/>
      <c r="K229" s="610"/>
      <c r="L229" s="610"/>
      <c r="M229" s="610"/>
      <c r="N229" s="610"/>
      <c r="O229" s="610"/>
      <c r="P229" s="610"/>
      <c r="Q229" s="610"/>
      <c r="R229" s="610"/>
      <c r="S229" s="611"/>
    </row>
    <row r="230" spans="2:19" ht="15" hidden="1" customHeight="1" x14ac:dyDescent="0.25">
      <c r="B230" s="522" t="s">
        <v>177</v>
      </c>
      <c r="C230" s="750"/>
      <c r="E230" s="607"/>
      <c r="F230" s="612" t="s">
        <v>235</v>
      </c>
      <c r="G230" s="613" t="e">
        <f>AVERAGE(H230:S230)</f>
        <v>#DIV/0!</v>
      </c>
      <c r="H230" s="614"/>
      <c r="I230" s="615"/>
      <c r="J230" s="615"/>
      <c r="K230" s="615"/>
      <c r="L230" s="615"/>
      <c r="M230" s="615"/>
      <c r="N230" s="615"/>
      <c r="O230" s="615"/>
      <c r="P230" s="615"/>
      <c r="Q230" s="615"/>
      <c r="R230" s="615"/>
      <c r="S230" s="616"/>
    </row>
    <row r="231" spans="2:19" ht="15" hidden="1" customHeight="1" x14ac:dyDescent="0.25">
      <c r="B231" s="522" t="s">
        <v>180</v>
      </c>
      <c r="C231" s="750"/>
      <c r="E231" s="607"/>
      <c r="F231" s="612" t="s">
        <v>236</v>
      </c>
      <c r="G231" s="613" t="e">
        <f>((ROUND(G229/G230,0)&amp;" : "&amp;"1"))</f>
        <v>#DIV/0!</v>
      </c>
      <c r="H231" s="614" t="e">
        <f>((ROUND(H229/H230,0)&amp;" : "&amp;"1"))</f>
        <v>#DIV/0!</v>
      </c>
      <c r="I231" s="614" t="e">
        <f t="shared" ref="I231:S231" si="23">((ROUND(I229/I230,0)&amp;" : "&amp;"1"))</f>
        <v>#DIV/0!</v>
      </c>
      <c r="J231" s="614" t="e">
        <f t="shared" si="23"/>
        <v>#DIV/0!</v>
      </c>
      <c r="K231" s="614" t="e">
        <f t="shared" si="23"/>
        <v>#DIV/0!</v>
      </c>
      <c r="L231" s="614" t="e">
        <f t="shared" si="23"/>
        <v>#DIV/0!</v>
      </c>
      <c r="M231" s="614" t="e">
        <f t="shared" si="23"/>
        <v>#DIV/0!</v>
      </c>
      <c r="N231" s="614" t="e">
        <f t="shared" si="23"/>
        <v>#DIV/0!</v>
      </c>
      <c r="O231" s="614" t="e">
        <f t="shared" si="23"/>
        <v>#DIV/0!</v>
      </c>
      <c r="P231" s="614" t="e">
        <f t="shared" si="23"/>
        <v>#DIV/0!</v>
      </c>
      <c r="Q231" s="614" t="e">
        <f t="shared" si="23"/>
        <v>#DIV/0!</v>
      </c>
      <c r="R231" s="614" t="e">
        <f t="shared" si="23"/>
        <v>#DIV/0!</v>
      </c>
      <c r="S231" s="631" t="e">
        <f t="shared" si="23"/>
        <v>#DIV/0!</v>
      </c>
    </row>
    <row r="232" spans="2:19" ht="15" hidden="1" customHeight="1" x14ac:dyDescent="0.25">
      <c r="B232" s="514" t="s">
        <v>179</v>
      </c>
      <c r="C232" s="750"/>
      <c r="E232" s="607"/>
      <c r="F232" s="617" t="s">
        <v>211</v>
      </c>
      <c r="G232" s="618" t="s">
        <v>211</v>
      </c>
      <c r="H232" s="619" t="s">
        <v>211</v>
      </c>
      <c r="I232" s="619" t="s">
        <v>211</v>
      </c>
      <c r="J232" s="619" t="s">
        <v>211</v>
      </c>
      <c r="K232" s="619" t="s">
        <v>211</v>
      </c>
      <c r="L232" s="619" t="s">
        <v>211</v>
      </c>
      <c r="M232" s="619" t="s">
        <v>211</v>
      </c>
      <c r="N232" s="619" t="s">
        <v>211</v>
      </c>
      <c r="O232" s="619" t="s">
        <v>211</v>
      </c>
      <c r="P232" s="619" t="s">
        <v>211</v>
      </c>
      <c r="Q232" s="619" t="s">
        <v>211</v>
      </c>
      <c r="R232" s="619" t="s">
        <v>211</v>
      </c>
      <c r="S232" s="632" t="s">
        <v>211</v>
      </c>
    </row>
    <row r="233" spans="2:19" ht="15" hidden="1" customHeight="1" x14ac:dyDescent="0.25">
      <c r="B233" s="756" t="s">
        <v>163</v>
      </c>
      <c r="C233" s="920"/>
      <c r="D233" s="885"/>
      <c r="E233" s="621"/>
      <c r="F233" s="622"/>
      <c r="G233" s="650"/>
      <c r="H233" s="621"/>
      <c r="I233" s="621"/>
      <c r="J233" s="621"/>
      <c r="K233" s="1047"/>
      <c r="L233" s="1047"/>
      <c r="M233" s="621"/>
      <c r="N233" s="621"/>
      <c r="O233" s="621"/>
      <c r="P233" s="621"/>
      <c r="Q233" s="621"/>
      <c r="R233" s="621"/>
      <c r="S233" s="643"/>
    </row>
    <row r="234" spans="2:19" ht="15" hidden="1" customHeight="1" x14ac:dyDescent="0.25">
      <c r="B234" s="509" t="s">
        <v>178</v>
      </c>
      <c r="C234" s="750"/>
      <c r="E234" s="607"/>
      <c r="F234" s="608" t="s">
        <v>237</v>
      </c>
      <c r="G234" s="609" t="e">
        <f>AVERAGE(H234:S234)</f>
        <v>#DIV/0!</v>
      </c>
      <c r="H234" s="636"/>
      <c r="I234" s="610"/>
      <c r="J234" s="610"/>
      <c r="K234" s="610"/>
      <c r="L234" s="610"/>
      <c r="M234" s="610"/>
      <c r="N234" s="610"/>
      <c r="O234" s="610"/>
      <c r="P234" s="610"/>
      <c r="Q234" s="610"/>
      <c r="R234" s="610"/>
      <c r="S234" s="611"/>
    </row>
    <row r="235" spans="2:19" ht="15" hidden="1" customHeight="1" x14ac:dyDescent="0.25">
      <c r="B235" s="522" t="s">
        <v>177</v>
      </c>
      <c r="C235" s="750"/>
      <c r="E235" s="607"/>
      <c r="F235" s="612" t="s">
        <v>227</v>
      </c>
      <c r="G235" s="613" t="e">
        <f>AVERAGE(H235:S235)</f>
        <v>#DIV/0!</v>
      </c>
      <c r="H235" s="614"/>
      <c r="I235" s="615"/>
      <c r="J235" s="615"/>
      <c r="K235" s="615"/>
      <c r="L235" s="615"/>
      <c r="M235" s="615"/>
      <c r="N235" s="615"/>
      <c r="O235" s="615"/>
      <c r="P235" s="615"/>
      <c r="Q235" s="615"/>
      <c r="R235" s="615"/>
      <c r="S235" s="616"/>
    </row>
    <row r="236" spans="2:19" ht="15" hidden="1" customHeight="1" x14ac:dyDescent="0.25">
      <c r="B236" s="522" t="s">
        <v>180</v>
      </c>
      <c r="C236" s="750"/>
      <c r="E236" s="607"/>
      <c r="F236" s="612" t="s">
        <v>225</v>
      </c>
      <c r="G236" s="613" t="e">
        <f>((ROUND(G234/G235,0)&amp;" : "&amp;"1"))</f>
        <v>#DIV/0!</v>
      </c>
      <c r="H236" s="614" t="e">
        <f>((ROUND(H234/H235,0)&amp;" : "&amp;"1"))</f>
        <v>#DIV/0!</v>
      </c>
      <c r="I236" s="614" t="e">
        <f t="shared" ref="I236:S236" si="24">((ROUND(I234/I235,0)&amp;" : "&amp;"1"))</f>
        <v>#DIV/0!</v>
      </c>
      <c r="J236" s="614" t="e">
        <f t="shared" si="24"/>
        <v>#DIV/0!</v>
      </c>
      <c r="K236" s="614" t="e">
        <f t="shared" si="24"/>
        <v>#DIV/0!</v>
      </c>
      <c r="L236" s="614" t="e">
        <f t="shared" si="24"/>
        <v>#DIV/0!</v>
      </c>
      <c r="M236" s="614" t="e">
        <f t="shared" si="24"/>
        <v>#DIV/0!</v>
      </c>
      <c r="N236" s="614" t="e">
        <f t="shared" si="24"/>
        <v>#DIV/0!</v>
      </c>
      <c r="O236" s="614" t="e">
        <f t="shared" si="24"/>
        <v>#DIV/0!</v>
      </c>
      <c r="P236" s="614" t="e">
        <f t="shared" si="24"/>
        <v>#DIV/0!</v>
      </c>
      <c r="Q236" s="614" t="e">
        <f t="shared" si="24"/>
        <v>#DIV/0!</v>
      </c>
      <c r="R236" s="614" t="e">
        <f t="shared" si="24"/>
        <v>#DIV/0!</v>
      </c>
      <c r="S236" s="631" t="e">
        <f t="shared" si="24"/>
        <v>#DIV/0!</v>
      </c>
    </row>
    <row r="237" spans="2:19" ht="15" hidden="1" customHeight="1" x14ac:dyDescent="0.25">
      <c r="B237" s="514" t="s">
        <v>179</v>
      </c>
      <c r="C237" s="750"/>
      <c r="E237" s="607"/>
      <c r="F237" s="617" t="s">
        <v>212</v>
      </c>
      <c r="G237" s="618" t="s">
        <v>212</v>
      </c>
      <c r="H237" s="619" t="s">
        <v>212</v>
      </c>
      <c r="I237" s="619" t="s">
        <v>212</v>
      </c>
      <c r="J237" s="619" t="s">
        <v>212</v>
      </c>
      <c r="K237" s="619" t="s">
        <v>212</v>
      </c>
      <c r="L237" s="619" t="s">
        <v>212</v>
      </c>
      <c r="M237" s="619" t="s">
        <v>212</v>
      </c>
      <c r="N237" s="619" t="s">
        <v>212</v>
      </c>
      <c r="O237" s="619" t="s">
        <v>212</v>
      </c>
      <c r="P237" s="619" t="s">
        <v>212</v>
      </c>
      <c r="Q237" s="619" t="s">
        <v>212</v>
      </c>
      <c r="R237" s="619" t="s">
        <v>212</v>
      </c>
      <c r="S237" s="632" t="s">
        <v>212</v>
      </c>
    </row>
    <row r="238" spans="2:19" ht="15" hidden="1" customHeight="1" x14ac:dyDescent="0.25">
      <c r="B238" s="756" t="s">
        <v>202</v>
      </c>
      <c r="C238" s="920"/>
      <c r="D238" s="885"/>
      <c r="E238" s="621"/>
      <c r="F238" s="622"/>
      <c r="G238" s="650"/>
      <c r="H238" s="621"/>
      <c r="I238" s="621"/>
      <c r="J238" s="621"/>
      <c r="K238" s="1047"/>
      <c r="L238" s="1047"/>
      <c r="M238" s="621"/>
      <c r="N238" s="621"/>
      <c r="O238" s="621"/>
      <c r="P238" s="621"/>
      <c r="Q238" s="621"/>
      <c r="R238" s="621"/>
      <c r="S238" s="643"/>
    </row>
    <row r="239" spans="2:19" ht="15" hidden="1" customHeight="1" x14ac:dyDescent="0.25">
      <c r="B239" s="509" t="s">
        <v>178</v>
      </c>
      <c r="C239" s="750"/>
      <c r="E239" s="607"/>
      <c r="F239" s="608" t="s">
        <v>238</v>
      </c>
      <c r="G239" s="609" t="e">
        <f>AVERAGE(H239:S239)</f>
        <v>#DIV/0!</v>
      </c>
      <c r="H239" s="636"/>
      <c r="I239" s="610"/>
      <c r="J239" s="610"/>
      <c r="K239" s="610"/>
      <c r="L239" s="610"/>
      <c r="M239" s="610"/>
      <c r="N239" s="610"/>
      <c r="O239" s="610"/>
      <c r="P239" s="610"/>
      <c r="Q239" s="610"/>
      <c r="R239" s="610"/>
      <c r="S239" s="611"/>
    </row>
    <row r="240" spans="2:19" ht="15" hidden="1" customHeight="1" x14ac:dyDescent="0.25">
      <c r="B240" s="522" t="s">
        <v>177</v>
      </c>
      <c r="C240" s="750"/>
      <c r="E240" s="607"/>
      <c r="F240" s="612" t="s">
        <v>235</v>
      </c>
      <c r="G240" s="613" t="e">
        <f>AVERAGE(H240:S240)</f>
        <v>#DIV/0!</v>
      </c>
      <c r="H240" s="614"/>
      <c r="I240" s="615"/>
      <c r="J240" s="615"/>
      <c r="K240" s="615"/>
      <c r="L240" s="615"/>
      <c r="M240" s="615"/>
      <c r="N240" s="615"/>
      <c r="O240" s="615"/>
      <c r="P240" s="615"/>
      <c r="Q240" s="615"/>
      <c r="R240" s="615"/>
      <c r="S240" s="616"/>
    </row>
    <row r="241" spans="2:19" ht="15" hidden="1" customHeight="1" x14ac:dyDescent="0.25">
      <c r="B241" s="522" t="s">
        <v>180</v>
      </c>
      <c r="C241" s="750"/>
      <c r="E241" s="607"/>
      <c r="F241" s="612" t="s">
        <v>236</v>
      </c>
      <c r="G241" s="613" t="e">
        <f>((ROUND(G239/G240,0)&amp;" : "&amp;"1"))</f>
        <v>#DIV/0!</v>
      </c>
      <c r="H241" s="614" t="e">
        <f>((ROUND(H239/H240,0)&amp;" : "&amp;"1"))</f>
        <v>#DIV/0!</v>
      </c>
      <c r="I241" s="614" t="e">
        <f t="shared" ref="I241:S241" si="25">((ROUND(I239/I240,0)&amp;" : "&amp;"1"))</f>
        <v>#DIV/0!</v>
      </c>
      <c r="J241" s="614" t="e">
        <f t="shared" si="25"/>
        <v>#DIV/0!</v>
      </c>
      <c r="K241" s="614" t="e">
        <f t="shared" si="25"/>
        <v>#DIV/0!</v>
      </c>
      <c r="L241" s="614" t="e">
        <f t="shared" si="25"/>
        <v>#DIV/0!</v>
      </c>
      <c r="M241" s="614" t="e">
        <f t="shared" si="25"/>
        <v>#DIV/0!</v>
      </c>
      <c r="N241" s="614" t="e">
        <f t="shared" si="25"/>
        <v>#DIV/0!</v>
      </c>
      <c r="O241" s="614" t="e">
        <f t="shared" si="25"/>
        <v>#DIV/0!</v>
      </c>
      <c r="P241" s="614" t="e">
        <f t="shared" si="25"/>
        <v>#DIV/0!</v>
      </c>
      <c r="Q241" s="614" t="e">
        <f t="shared" si="25"/>
        <v>#DIV/0!</v>
      </c>
      <c r="R241" s="614" t="e">
        <f t="shared" si="25"/>
        <v>#DIV/0!</v>
      </c>
      <c r="S241" s="631" t="e">
        <f t="shared" si="25"/>
        <v>#DIV/0!</v>
      </c>
    </row>
    <row r="242" spans="2:19" ht="15" hidden="1" customHeight="1" x14ac:dyDescent="0.25">
      <c r="B242" s="759" t="s">
        <v>179</v>
      </c>
      <c r="C242" s="914"/>
      <c r="D242" s="880"/>
      <c r="E242" s="637"/>
      <c r="F242" s="638" t="s">
        <v>211</v>
      </c>
      <c r="G242" s="639" t="s">
        <v>211</v>
      </c>
      <c r="H242" s="640" t="s">
        <v>189</v>
      </c>
      <c r="I242" s="640" t="s">
        <v>189</v>
      </c>
      <c r="J242" s="640" t="s">
        <v>189</v>
      </c>
      <c r="K242" s="640" t="s">
        <v>189</v>
      </c>
      <c r="L242" s="640" t="s">
        <v>189</v>
      </c>
      <c r="M242" s="640" t="s">
        <v>189</v>
      </c>
      <c r="N242" s="640" t="s">
        <v>189</v>
      </c>
      <c r="O242" s="640" t="s">
        <v>189</v>
      </c>
      <c r="P242" s="651" t="s">
        <v>211</v>
      </c>
      <c r="Q242" s="651" t="s">
        <v>211</v>
      </c>
      <c r="R242" s="651" t="s">
        <v>211</v>
      </c>
      <c r="S242" s="652" t="s">
        <v>211</v>
      </c>
    </row>
    <row r="243" spans="2:19" hidden="1" x14ac:dyDescent="0.25"/>
    <row r="244" spans="2:19" hidden="1" x14ac:dyDescent="0.25"/>
  </sheetData>
  <mergeCells count="35">
    <mergeCell ref="B178:S178"/>
    <mergeCell ref="B180:S180"/>
    <mergeCell ref="K228:L228"/>
    <mergeCell ref="K233:L233"/>
    <mergeCell ref="K238:L238"/>
    <mergeCell ref="B170:S170"/>
    <mergeCell ref="B110:S110"/>
    <mergeCell ref="B120:S120"/>
    <mergeCell ref="B121:S121"/>
    <mergeCell ref="B130:S130"/>
    <mergeCell ref="B135:S135"/>
    <mergeCell ref="B142:S142"/>
    <mergeCell ref="B143:S143"/>
    <mergeCell ref="B148:S148"/>
    <mergeCell ref="B154:S154"/>
    <mergeCell ref="B155:S155"/>
    <mergeCell ref="B163:S163"/>
    <mergeCell ref="B107:S107"/>
    <mergeCell ref="B45:S45"/>
    <mergeCell ref="E49:F50"/>
    <mergeCell ref="G49:G50"/>
    <mergeCell ref="B53:S53"/>
    <mergeCell ref="B59:S59"/>
    <mergeCell ref="B66:S66"/>
    <mergeCell ref="B79:S79"/>
    <mergeCell ref="B80:S80"/>
    <mergeCell ref="B86:S86"/>
    <mergeCell ref="B90:S90"/>
    <mergeCell ref="B101:S101"/>
    <mergeCell ref="B24:S24"/>
    <mergeCell ref="E1:F1"/>
    <mergeCell ref="B3:S3"/>
    <mergeCell ref="B4:S4"/>
    <mergeCell ref="B5:S5"/>
    <mergeCell ref="B13:S13"/>
  </mergeCells>
  <pageMargins left="0.25" right="0.25" top="0.75" bottom="0.75" header="0.3" footer="0.3"/>
  <pageSetup scale="46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9"/>
  <sheetViews>
    <sheetView topLeftCell="B1" zoomScaleNormal="100" workbookViewId="0">
      <pane xSplit="6" ySplit="5" topLeftCell="M6" activePane="bottomRight" state="frozen"/>
      <selection activeCell="B1" sqref="B1"/>
      <selection pane="topRight" activeCell="G1" sqref="G1"/>
      <selection pane="bottomLeft" activeCell="B6" sqref="B6"/>
      <selection pane="bottomRight" activeCell="H25" sqref="H25:S25"/>
    </sheetView>
  </sheetViews>
  <sheetFormatPr defaultColWidth="8.85546875" defaultRowHeight="12.75" x14ac:dyDescent="0.25"/>
  <cols>
    <col min="1" max="1" width="9.140625" style="518" hidden="1" customWidth="1"/>
    <col min="2" max="2" width="77.5703125" style="518" customWidth="1"/>
    <col min="3" max="3" width="0.140625" style="518" customWidth="1"/>
    <col min="4" max="4" width="0.5703125" style="875" customWidth="1"/>
    <col min="5" max="6" width="12.7109375" style="696" customWidth="1"/>
    <col min="7" max="7" width="12.85546875" style="653" customWidth="1"/>
    <col min="8" max="8" width="16.28515625" style="696" bestFit="1" customWidth="1"/>
    <col min="9" max="9" width="12.7109375" style="696" customWidth="1"/>
    <col min="10" max="10" width="17.85546875" style="696" customWidth="1"/>
    <col min="11" max="11" width="15.140625" style="696" customWidth="1"/>
    <col min="12" max="12" width="14.140625" style="696" customWidth="1"/>
    <col min="13" max="19" width="12.7109375" style="696" customWidth="1"/>
    <col min="20" max="20" width="11" style="518" bestFit="1" customWidth="1"/>
    <col min="21" max="16384" width="8.85546875" style="518"/>
  </cols>
  <sheetData>
    <row r="1" spans="1:21" s="768" customFormat="1" ht="15.95" customHeight="1" x14ac:dyDescent="0.25">
      <c r="A1" s="764"/>
      <c r="B1" s="765"/>
      <c r="C1" s="765" t="s">
        <v>389</v>
      </c>
      <c r="D1" s="864"/>
      <c r="E1" s="1083" t="s">
        <v>262</v>
      </c>
      <c r="F1" s="1084"/>
      <c r="G1" s="504" t="s">
        <v>123</v>
      </c>
      <c r="H1" s="766"/>
      <c r="I1" s="766"/>
      <c r="J1" s="766"/>
      <c r="K1" s="766"/>
      <c r="L1" s="766"/>
      <c r="M1" s="766"/>
      <c r="N1" s="766"/>
      <c r="O1" s="766"/>
      <c r="P1" s="766"/>
      <c r="Q1" s="766"/>
      <c r="R1" s="766"/>
      <c r="S1" s="767"/>
    </row>
    <row r="2" spans="1:21" s="768" customFormat="1" ht="28.5" customHeight="1" x14ac:dyDescent="0.25">
      <c r="A2" s="769"/>
      <c r="B2" s="770"/>
      <c r="C2" s="770"/>
      <c r="D2" s="886"/>
      <c r="E2" s="771" t="s">
        <v>213</v>
      </c>
      <c r="F2" s="772" t="s">
        <v>255</v>
      </c>
      <c r="G2" s="773" t="s">
        <v>261</v>
      </c>
      <c r="H2" s="774" t="s">
        <v>6</v>
      </c>
      <c r="I2" s="771" t="s">
        <v>7</v>
      </c>
      <c r="J2" s="771" t="s">
        <v>8</v>
      </c>
      <c r="K2" s="771" t="s">
        <v>9</v>
      </c>
      <c r="L2" s="771" t="s">
        <v>10</v>
      </c>
      <c r="M2" s="771" t="s">
        <v>11</v>
      </c>
      <c r="N2" s="771" t="s">
        <v>12</v>
      </c>
      <c r="O2" s="771" t="s">
        <v>13</v>
      </c>
      <c r="P2" s="771" t="s">
        <v>14</v>
      </c>
      <c r="Q2" s="771" t="s">
        <v>15</v>
      </c>
      <c r="R2" s="771" t="s">
        <v>16</v>
      </c>
      <c r="S2" s="771" t="s">
        <v>17</v>
      </c>
    </row>
    <row r="3" spans="1:21" s="655" customFormat="1" ht="15.95" customHeight="1" x14ac:dyDescent="0.25">
      <c r="A3" s="654"/>
      <c r="B3" s="1054" t="s">
        <v>264</v>
      </c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6"/>
    </row>
    <row r="4" spans="1:21" s="655" customFormat="1" ht="15.95" customHeight="1" x14ac:dyDescent="0.25">
      <c r="A4" s="654"/>
      <c r="B4" s="1085"/>
      <c r="C4" s="1086"/>
      <c r="D4" s="1086"/>
      <c r="E4" s="1086"/>
      <c r="F4" s="1086"/>
      <c r="G4" s="1086"/>
      <c r="H4" s="1086"/>
      <c r="I4" s="1086"/>
      <c r="J4" s="1086"/>
      <c r="K4" s="1086"/>
      <c r="L4" s="1086"/>
      <c r="M4" s="1086"/>
      <c r="N4" s="1086"/>
      <c r="O4" s="1086"/>
      <c r="P4" s="1086"/>
      <c r="Q4" s="1086"/>
      <c r="R4" s="1086"/>
      <c r="S4" s="1087"/>
    </row>
    <row r="5" spans="1:21" s="655" customFormat="1" ht="15.95" customHeight="1" x14ac:dyDescent="0.25">
      <c r="A5" s="654"/>
      <c r="B5" s="1088" t="s">
        <v>18</v>
      </c>
      <c r="C5" s="1089"/>
      <c r="D5" s="1089"/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089"/>
      <c r="R5" s="1089"/>
      <c r="S5" s="1090"/>
    </row>
    <row r="6" spans="1:21" ht="15" customHeight="1" x14ac:dyDescent="0.25">
      <c r="A6" s="516"/>
      <c r="B6" s="509" t="s">
        <v>282</v>
      </c>
      <c r="C6" s="902" t="s">
        <v>391</v>
      </c>
      <c r="D6" s="871"/>
      <c r="E6" s="656">
        <v>3091</v>
      </c>
      <c r="F6" s="657">
        <v>3195</v>
      </c>
      <c r="G6" s="510">
        <f t="shared" ref="G6:G12" si="0">SUM(H6:S6)</f>
        <v>3137</v>
      </c>
      <c r="H6" s="511">
        <v>202</v>
      </c>
      <c r="I6" s="512">
        <v>269</v>
      </c>
      <c r="J6" s="512">
        <v>210</v>
      </c>
      <c r="K6" s="512">
        <v>321</v>
      </c>
      <c r="L6" s="512">
        <v>256</v>
      </c>
      <c r="M6" s="512">
        <v>216</v>
      </c>
      <c r="N6" s="512">
        <v>239</v>
      </c>
      <c r="O6" s="512">
        <v>274</v>
      </c>
      <c r="P6" s="512">
        <v>262</v>
      </c>
      <c r="Q6" s="512">
        <v>302</v>
      </c>
      <c r="R6" s="512">
        <v>338</v>
      </c>
      <c r="S6" s="513">
        <v>248</v>
      </c>
    </row>
    <row r="7" spans="1:21" ht="15" customHeight="1" x14ac:dyDescent="0.25">
      <c r="A7" s="516"/>
      <c r="B7" s="514" t="s">
        <v>263</v>
      </c>
      <c r="C7" s="902" t="s">
        <v>391</v>
      </c>
      <c r="D7" s="872"/>
      <c r="E7" s="658">
        <v>1566</v>
      </c>
      <c r="F7" s="659">
        <v>1520</v>
      </c>
      <c r="G7" s="510">
        <f t="shared" si="0"/>
        <v>1586</v>
      </c>
      <c r="H7" s="511">
        <v>91</v>
      </c>
      <c r="I7" s="512">
        <v>114</v>
      </c>
      <c r="J7" s="512">
        <v>106</v>
      </c>
      <c r="K7" s="512">
        <v>161</v>
      </c>
      <c r="L7" s="512">
        <v>143</v>
      </c>
      <c r="M7" s="512">
        <v>108</v>
      </c>
      <c r="N7" s="512">
        <v>128</v>
      </c>
      <c r="O7" s="512">
        <v>147</v>
      </c>
      <c r="P7" s="512">
        <v>138</v>
      </c>
      <c r="Q7" s="512">
        <v>175</v>
      </c>
      <c r="R7" s="512">
        <v>163</v>
      </c>
      <c r="S7" s="513">
        <v>112</v>
      </c>
    </row>
    <row r="8" spans="1:21" ht="15" customHeight="1" x14ac:dyDescent="0.25">
      <c r="A8" s="516"/>
      <c r="B8" s="522" t="s">
        <v>283</v>
      </c>
      <c r="C8" s="902" t="s">
        <v>391</v>
      </c>
      <c r="D8" s="873"/>
      <c r="E8" s="540">
        <v>4557</v>
      </c>
      <c r="F8" s="660">
        <v>4658</v>
      </c>
      <c r="G8" s="510">
        <f t="shared" si="0"/>
        <v>5076</v>
      </c>
      <c r="H8" s="511">
        <v>295</v>
      </c>
      <c r="I8" s="512">
        <v>531</v>
      </c>
      <c r="J8" s="512">
        <v>397</v>
      </c>
      <c r="K8" s="512">
        <v>555</v>
      </c>
      <c r="L8" s="512">
        <v>433</v>
      </c>
      <c r="M8" s="512">
        <v>285</v>
      </c>
      <c r="N8" s="512">
        <v>391</v>
      </c>
      <c r="O8" s="512">
        <v>438</v>
      </c>
      <c r="P8" s="512">
        <v>380</v>
      </c>
      <c r="Q8" s="512">
        <v>475</v>
      </c>
      <c r="R8" s="512">
        <v>492</v>
      </c>
      <c r="S8" s="513">
        <v>404</v>
      </c>
    </row>
    <row r="9" spans="1:21" ht="15" customHeight="1" x14ac:dyDescent="0.25">
      <c r="A9" s="516"/>
      <c r="B9" s="509" t="s">
        <v>284</v>
      </c>
      <c r="C9" s="902" t="s">
        <v>391</v>
      </c>
      <c r="D9" s="871"/>
      <c r="E9" s="540">
        <v>346</v>
      </c>
      <c r="F9" s="660">
        <v>295</v>
      </c>
      <c r="G9" s="510">
        <f t="shared" si="0"/>
        <v>306</v>
      </c>
      <c r="H9" s="511">
        <v>10</v>
      </c>
      <c r="I9" s="512">
        <v>21</v>
      </c>
      <c r="J9" s="512">
        <v>21</v>
      </c>
      <c r="K9" s="512">
        <v>36</v>
      </c>
      <c r="L9" s="512">
        <v>28</v>
      </c>
      <c r="M9" s="512">
        <v>11</v>
      </c>
      <c r="N9" s="512">
        <v>26</v>
      </c>
      <c r="O9" s="512">
        <v>27</v>
      </c>
      <c r="P9" s="512">
        <v>23</v>
      </c>
      <c r="Q9" s="512">
        <v>42</v>
      </c>
      <c r="R9" s="512">
        <v>41</v>
      </c>
      <c r="S9" s="513">
        <v>20</v>
      </c>
    </row>
    <row r="10" spans="1:21" ht="15" customHeight="1" x14ac:dyDescent="0.25">
      <c r="A10" s="516"/>
      <c r="B10" s="760" t="s">
        <v>275</v>
      </c>
      <c r="C10" s="902" t="s">
        <v>391</v>
      </c>
      <c r="D10" s="874"/>
      <c r="E10" s="540">
        <v>315</v>
      </c>
      <c r="F10" s="660">
        <v>0</v>
      </c>
      <c r="G10" s="510">
        <f t="shared" si="0"/>
        <v>0</v>
      </c>
      <c r="H10" s="511" t="s">
        <v>144</v>
      </c>
      <c r="I10" s="512" t="s">
        <v>144</v>
      </c>
      <c r="J10" s="512" t="s">
        <v>144</v>
      </c>
      <c r="K10" s="512" t="s">
        <v>144</v>
      </c>
      <c r="L10" s="512" t="s">
        <v>144</v>
      </c>
      <c r="M10" s="512" t="s">
        <v>144</v>
      </c>
      <c r="N10" s="512" t="s">
        <v>144</v>
      </c>
      <c r="O10" s="512" t="s">
        <v>144</v>
      </c>
      <c r="P10" s="512" t="s">
        <v>144</v>
      </c>
      <c r="Q10" s="512" t="s">
        <v>144</v>
      </c>
      <c r="R10" s="512" t="s">
        <v>144</v>
      </c>
      <c r="S10" s="512" t="s">
        <v>144</v>
      </c>
    </row>
    <row r="11" spans="1:21" ht="15" customHeight="1" x14ac:dyDescent="0.25">
      <c r="A11" s="516"/>
      <c r="B11" s="522" t="s">
        <v>285</v>
      </c>
      <c r="C11" s="902" t="s">
        <v>391</v>
      </c>
      <c r="D11" s="873"/>
      <c r="E11" s="540">
        <v>1294</v>
      </c>
      <c r="F11" s="660">
        <v>1223</v>
      </c>
      <c r="G11" s="510">
        <f t="shared" si="0"/>
        <v>1279</v>
      </c>
      <c r="H11" s="511">
        <v>80</v>
      </c>
      <c r="I11" s="512">
        <v>93</v>
      </c>
      <c r="J11" s="512">
        <v>85</v>
      </c>
      <c r="K11" s="512">
        <v>125</v>
      </c>
      <c r="L11" s="512">
        <v>115</v>
      </c>
      <c r="M11" s="512">
        <v>97</v>
      </c>
      <c r="N11" s="512">
        <v>102</v>
      </c>
      <c r="O11" s="512">
        <v>120</v>
      </c>
      <c r="P11" s="512">
        <v>115</v>
      </c>
      <c r="Q11" s="512">
        <v>133</v>
      </c>
      <c r="R11" s="512">
        <v>122</v>
      </c>
      <c r="S11" s="513">
        <v>92</v>
      </c>
    </row>
    <row r="12" spans="1:21" ht="11.25" customHeight="1" x14ac:dyDescent="0.25">
      <c r="A12" s="516"/>
      <c r="B12" s="761" t="s">
        <v>276</v>
      </c>
      <c r="C12" s="902" t="s">
        <v>391</v>
      </c>
      <c r="D12" s="872"/>
      <c r="E12" s="595">
        <v>1160</v>
      </c>
      <c r="F12" s="661">
        <v>0</v>
      </c>
      <c r="G12" s="683">
        <f t="shared" si="0"/>
        <v>0</v>
      </c>
      <c r="H12" s="665" t="s">
        <v>144</v>
      </c>
      <c r="I12" s="670" t="s">
        <v>144</v>
      </c>
      <c r="J12" s="670" t="s">
        <v>144</v>
      </c>
      <c r="K12" s="670" t="s">
        <v>144</v>
      </c>
      <c r="L12" s="670" t="s">
        <v>144</v>
      </c>
      <c r="M12" s="670" t="s">
        <v>144</v>
      </c>
      <c r="N12" s="670" t="s">
        <v>144</v>
      </c>
      <c r="O12" s="670" t="s">
        <v>144</v>
      </c>
      <c r="P12" s="670" t="s">
        <v>144</v>
      </c>
      <c r="Q12" s="670" t="s">
        <v>144</v>
      </c>
      <c r="R12" s="670" t="s">
        <v>144</v>
      </c>
      <c r="S12" s="670" t="s">
        <v>144</v>
      </c>
      <c r="U12" s="933"/>
    </row>
    <row r="13" spans="1:21" ht="15" hidden="1" customHeight="1" x14ac:dyDescent="0.25">
      <c r="A13" s="516"/>
      <c r="B13" s="1079" t="s">
        <v>19</v>
      </c>
      <c r="C13" s="1080"/>
      <c r="D13" s="1080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2"/>
      <c r="U13" s="933"/>
    </row>
    <row r="14" spans="1:21" ht="12.75" hidden="1" customHeight="1" x14ac:dyDescent="0.25">
      <c r="A14" s="516"/>
      <c r="B14" s="777" t="s">
        <v>375</v>
      </c>
      <c r="C14" s="750"/>
      <c r="E14" s="778"/>
      <c r="F14" s="779"/>
      <c r="G14" s="785"/>
      <c r="H14" s="780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3"/>
      <c r="U14" s="933"/>
    </row>
    <row r="15" spans="1:21" ht="12.75" hidden="1" customHeight="1" x14ac:dyDescent="0.25">
      <c r="A15" s="516"/>
      <c r="B15" s="784" t="s">
        <v>22</v>
      </c>
      <c r="C15" s="907"/>
      <c r="E15" s="778"/>
      <c r="F15" s="779"/>
      <c r="G15" s="786"/>
      <c r="H15" s="511"/>
      <c r="I15" s="512">
        <v>117</v>
      </c>
      <c r="J15" s="512"/>
      <c r="K15" s="512"/>
      <c r="L15" s="512"/>
      <c r="M15" s="512"/>
      <c r="N15" s="512"/>
      <c r="O15" s="512"/>
      <c r="P15" s="512"/>
      <c r="Q15" s="512"/>
      <c r="R15" s="512"/>
      <c r="S15" s="513"/>
      <c r="U15" s="933"/>
    </row>
    <row r="16" spans="1:21" hidden="1" x14ac:dyDescent="0.25">
      <c r="A16" s="516"/>
      <c r="B16" s="784" t="s">
        <v>23</v>
      </c>
      <c r="C16" s="907"/>
      <c r="E16" s="778"/>
      <c r="F16" s="779"/>
      <c r="G16" s="781"/>
      <c r="H16" s="511"/>
      <c r="I16" s="512">
        <v>93</v>
      </c>
      <c r="J16" s="512"/>
      <c r="K16" s="512"/>
      <c r="L16" s="512"/>
      <c r="M16" s="512"/>
      <c r="N16" s="512"/>
      <c r="O16" s="512"/>
      <c r="P16" s="512"/>
      <c r="Q16" s="512"/>
      <c r="R16" s="512"/>
      <c r="S16" s="513"/>
    </row>
    <row r="17" spans="1:19" hidden="1" x14ac:dyDescent="0.25">
      <c r="A17" s="516"/>
      <c r="B17" s="784" t="s">
        <v>199</v>
      </c>
      <c r="C17" s="907"/>
      <c r="E17" s="778"/>
      <c r="F17" s="779"/>
      <c r="G17" s="787"/>
      <c r="H17" s="511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3"/>
    </row>
    <row r="18" spans="1:19" hidden="1" x14ac:dyDescent="0.25">
      <c r="A18" s="516"/>
      <c r="B18" s="782" t="s">
        <v>376</v>
      </c>
      <c r="C18" s="750"/>
      <c r="E18" s="778"/>
      <c r="F18" s="779"/>
      <c r="G18" s="510"/>
      <c r="H18" s="519"/>
      <c r="I18" s="520"/>
      <c r="J18" s="520"/>
      <c r="K18" s="520"/>
      <c r="L18" s="520"/>
      <c r="M18" s="520"/>
      <c r="N18" s="520"/>
      <c r="O18" s="520"/>
      <c r="P18" s="520"/>
      <c r="Q18" s="520"/>
      <c r="R18" s="520"/>
      <c r="S18" s="521"/>
    </row>
    <row r="19" spans="1:19" hidden="1" x14ac:dyDescent="0.25">
      <c r="A19" s="516"/>
      <c r="B19" s="782" t="s">
        <v>377</v>
      </c>
      <c r="C19" s="750"/>
      <c r="E19" s="778"/>
      <c r="F19" s="779"/>
      <c r="G19" s="523"/>
      <c r="H19" s="519"/>
      <c r="I19" s="520"/>
      <c r="J19" s="520"/>
      <c r="K19" s="520"/>
      <c r="L19" s="520"/>
      <c r="M19" s="520"/>
      <c r="N19" s="520"/>
      <c r="O19" s="520"/>
      <c r="P19" s="520"/>
      <c r="Q19" s="520"/>
      <c r="R19" s="520"/>
      <c r="S19" s="521"/>
    </row>
    <row r="20" spans="1:19" hidden="1" x14ac:dyDescent="0.25">
      <c r="A20" s="516"/>
      <c r="B20" s="782" t="s">
        <v>378</v>
      </c>
      <c r="C20" s="750"/>
      <c r="E20" s="778"/>
      <c r="F20" s="779"/>
      <c r="G20" s="523"/>
      <c r="H20" s="519"/>
      <c r="I20" s="520"/>
      <c r="J20" s="520"/>
      <c r="K20" s="520"/>
      <c r="L20" s="520"/>
      <c r="M20" s="520"/>
      <c r="N20" s="520"/>
      <c r="O20" s="520"/>
      <c r="P20" s="520"/>
      <c r="Q20" s="520"/>
      <c r="R20" s="520"/>
      <c r="S20" s="521"/>
    </row>
    <row r="21" spans="1:19" ht="37.5" hidden="1" customHeight="1" x14ac:dyDescent="0.25">
      <c r="A21" s="516"/>
      <c r="B21" s="782" t="s">
        <v>379</v>
      </c>
      <c r="C21" s="750"/>
      <c r="E21" s="778"/>
      <c r="F21" s="779"/>
      <c r="G21" s="523"/>
      <c r="H21" s="519"/>
      <c r="I21" s="520"/>
      <c r="J21" s="520"/>
      <c r="K21" s="520"/>
      <c r="L21" s="520"/>
      <c r="M21" s="520"/>
      <c r="N21" s="520"/>
      <c r="O21" s="520"/>
      <c r="P21" s="520"/>
      <c r="Q21" s="520"/>
      <c r="R21" s="520"/>
      <c r="S21" s="521"/>
    </row>
    <row r="22" spans="1:19" ht="40.5" hidden="1" customHeight="1" x14ac:dyDescent="0.25">
      <c r="A22" s="516"/>
      <c r="B22" s="782" t="s">
        <v>380</v>
      </c>
      <c r="C22" s="750"/>
      <c r="E22" s="778"/>
      <c r="F22" s="779"/>
      <c r="G22" s="523"/>
      <c r="H22" s="519"/>
      <c r="I22" s="520"/>
      <c r="J22" s="520"/>
      <c r="K22" s="520"/>
      <c r="L22" s="520"/>
      <c r="M22" s="520"/>
      <c r="N22" s="520"/>
      <c r="O22" s="520"/>
      <c r="P22" s="520"/>
      <c r="Q22" s="520"/>
      <c r="R22" s="520"/>
      <c r="S22" s="521"/>
    </row>
    <row r="23" spans="1:19" ht="36.75" hidden="1" customHeight="1" x14ac:dyDescent="0.25">
      <c r="A23" s="516"/>
      <c r="B23" s="783" t="s">
        <v>381</v>
      </c>
      <c r="C23" s="908"/>
      <c r="D23" s="876"/>
      <c r="E23" s="778"/>
      <c r="F23" s="779"/>
      <c r="G23" s="515"/>
      <c r="H23" s="524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6"/>
    </row>
    <row r="24" spans="1:19" s="655" customFormat="1" ht="15.95" customHeight="1" x14ac:dyDescent="0.25">
      <c r="A24" s="654"/>
      <c r="B24" s="1079" t="s">
        <v>293</v>
      </c>
      <c r="C24" s="1080"/>
      <c r="D24" s="1080"/>
      <c r="E24" s="1080"/>
      <c r="F24" s="1080"/>
      <c r="G24" s="1080"/>
      <c r="H24" s="1080"/>
      <c r="I24" s="1080"/>
      <c r="J24" s="1080"/>
      <c r="K24" s="1080"/>
      <c r="L24" s="1080"/>
      <c r="M24" s="1080"/>
      <c r="N24" s="1080"/>
      <c r="O24" s="1080"/>
      <c r="P24" s="1080"/>
      <c r="Q24" s="1080"/>
      <c r="R24" s="1080"/>
      <c r="S24" s="1081"/>
    </row>
    <row r="25" spans="1:19" ht="15" customHeight="1" x14ac:dyDescent="0.25">
      <c r="A25" s="516"/>
      <c r="B25" s="509" t="s">
        <v>277</v>
      </c>
      <c r="C25" s="750" t="s">
        <v>392</v>
      </c>
      <c r="E25" s="717">
        <v>0</v>
      </c>
      <c r="F25" s="718">
        <v>3435</v>
      </c>
      <c r="G25" s="722">
        <f t="shared" ref="G25:G32" si="1">SUM(H25:S25)</f>
        <v>3697</v>
      </c>
      <c r="H25" s="511">
        <v>304</v>
      </c>
      <c r="I25" s="512">
        <v>302</v>
      </c>
      <c r="J25" s="512">
        <v>304</v>
      </c>
      <c r="K25" s="512">
        <v>304</v>
      </c>
      <c r="L25" s="512">
        <v>303</v>
      </c>
      <c r="M25" s="512">
        <v>303</v>
      </c>
      <c r="N25" s="512">
        <v>308</v>
      </c>
      <c r="O25" s="512">
        <v>310</v>
      </c>
      <c r="P25" s="512">
        <v>313</v>
      </c>
      <c r="Q25" s="512">
        <v>315</v>
      </c>
      <c r="R25" s="512">
        <v>318</v>
      </c>
      <c r="S25" s="527">
        <v>313</v>
      </c>
    </row>
    <row r="26" spans="1:19" ht="15" customHeight="1" x14ac:dyDescent="0.25">
      <c r="A26" s="516"/>
      <c r="B26" s="762" t="s">
        <v>22</v>
      </c>
      <c r="C26" s="750" t="s">
        <v>392</v>
      </c>
      <c r="E26" s="719">
        <v>0</v>
      </c>
      <c r="F26" s="720">
        <v>1807</v>
      </c>
      <c r="G26" s="723">
        <f t="shared" si="1"/>
        <v>1933</v>
      </c>
      <c r="H26" s="511">
        <v>162</v>
      </c>
      <c r="I26" s="512">
        <v>155</v>
      </c>
      <c r="J26" s="512">
        <v>155</v>
      </c>
      <c r="K26" s="512">
        <v>161</v>
      </c>
      <c r="L26" s="512">
        <v>157</v>
      </c>
      <c r="M26" s="512">
        <v>157</v>
      </c>
      <c r="N26" s="512">
        <v>161</v>
      </c>
      <c r="O26" s="512">
        <v>161</v>
      </c>
      <c r="P26" s="512">
        <v>164</v>
      </c>
      <c r="Q26" s="512">
        <v>165</v>
      </c>
      <c r="R26" s="512">
        <v>169</v>
      </c>
      <c r="S26" s="527">
        <v>166</v>
      </c>
    </row>
    <row r="27" spans="1:19" ht="15" customHeight="1" x14ac:dyDescent="0.25">
      <c r="A27" s="516"/>
      <c r="B27" s="762" t="s">
        <v>23</v>
      </c>
      <c r="C27" s="750" t="s">
        <v>392</v>
      </c>
      <c r="E27" s="719">
        <v>0</v>
      </c>
      <c r="F27" s="720">
        <v>1664</v>
      </c>
      <c r="G27" s="723">
        <f t="shared" si="1"/>
        <v>1768</v>
      </c>
      <c r="H27" s="511">
        <v>142</v>
      </c>
      <c r="I27" s="512">
        <v>147</v>
      </c>
      <c r="J27" s="512">
        <v>149</v>
      </c>
      <c r="K27" s="512">
        <v>147</v>
      </c>
      <c r="L27" s="512">
        <v>146</v>
      </c>
      <c r="M27" s="512">
        <v>146</v>
      </c>
      <c r="N27" s="512">
        <v>147</v>
      </c>
      <c r="O27" s="512">
        <v>149</v>
      </c>
      <c r="P27" s="512">
        <v>149</v>
      </c>
      <c r="Q27" s="512">
        <v>150</v>
      </c>
      <c r="R27" s="512">
        <v>149</v>
      </c>
      <c r="S27" s="527">
        <v>147</v>
      </c>
    </row>
    <row r="28" spans="1:19" ht="15" customHeight="1" x14ac:dyDescent="0.25">
      <c r="A28" s="516"/>
      <c r="B28" s="762" t="s">
        <v>278</v>
      </c>
      <c r="C28" s="750" t="s">
        <v>392</v>
      </c>
      <c r="E28" s="719">
        <v>0</v>
      </c>
      <c r="F28" s="720">
        <v>1429</v>
      </c>
      <c r="G28" s="723">
        <f t="shared" si="1"/>
        <v>1214</v>
      </c>
      <c r="H28" s="511">
        <v>110</v>
      </c>
      <c r="I28" s="512">
        <v>100</v>
      </c>
      <c r="J28" s="512">
        <v>105</v>
      </c>
      <c r="K28" s="512">
        <v>103</v>
      </c>
      <c r="L28" s="512">
        <v>100</v>
      </c>
      <c r="M28" s="512">
        <v>99</v>
      </c>
      <c r="N28" s="512">
        <v>103</v>
      </c>
      <c r="O28" s="512">
        <v>105</v>
      </c>
      <c r="P28" s="512">
        <v>104</v>
      </c>
      <c r="Q28" s="512">
        <v>96</v>
      </c>
      <c r="R28" s="512">
        <v>95</v>
      </c>
      <c r="S28" s="527">
        <v>94</v>
      </c>
    </row>
    <row r="29" spans="1:19" ht="15" customHeight="1" x14ac:dyDescent="0.25">
      <c r="A29" s="516"/>
      <c r="B29" s="762" t="s">
        <v>279</v>
      </c>
      <c r="C29" s="750" t="s">
        <v>392</v>
      </c>
      <c r="E29" s="719">
        <v>0</v>
      </c>
      <c r="F29" s="720">
        <v>949</v>
      </c>
      <c r="G29" s="723">
        <f t="shared" si="1"/>
        <v>1111</v>
      </c>
      <c r="H29" s="511">
        <v>88</v>
      </c>
      <c r="I29" s="512">
        <v>92</v>
      </c>
      <c r="J29" s="512">
        <v>90</v>
      </c>
      <c r="K29" s="512">
        <v>95</v>
      </c>
      <c r="L29" s="512">
        <v>89</v>
      </c>
      <c r="M29" s="512">
        <v>93</v>
      </c>
      <c r="N29" s="512">
        <v>97</v>
      </c>
      <c r="O29" s="512">
        <v>100</v>
      </c>
      <c r="P29" s="512">
        <v>95</v>
      </c>
      <c r="Q29" s="512">
        <v>94</v>
      </c>
      <c r="R29" s="512">
        <v>92</v>
      </c>
      <c r="S29" s="527">
        <v>86</v>
      </c>
    </row>
    <row r="30" spans="1:19" ht="15" customHeight="1" x14ac:dyDescent="0.25">
      <c r="A30" s="516"/>
      <c r="B30" s="762" t="s">
        <v>280</v>
      </c>
      <c r="C30" s="750" t="s">
        <v>392</v>
      </c>
      <c r="E30" s="719">
        <v>0</v>
      </c>
      <c r="F30" s="720">
        <v>1093</v>
      </c>
      <c r="G30" s="723">
        <f t="shared" si="1"/>
        <v>1371</v>
      </c>
      <c r="H30" s="511">
        <v>101</v>
      </c>
      <c r="I30" s="512">
        <v>110</v>
      </c>
      <c r="J30" s="512">
        <v>109</v>
      </c>
      <c r="K30" s="512">
        <v>110</v>
      </c>
      <c r="L30" s="512">
        <v>114</v>
      </c>
      <c r="M30" s="512">
        <v>111</v>
      </c>
      <c r="N30" s="512">
        <v>108</v>
      </c>
      <c r="O30" s="512">
        <v>105</v>
      </c>
      <c r="P30" s="512">
        <v>114</v>
      </c>
      <c r="Q30" s="512">
        <v>125</v>
      </c>
      <c r="R30" s="512">
        <v>131</v>
      </c>
      <c r="S30" s="527">
        <v>133</v>
      </c>
    </row>
    <row r="31" spans="1:19" ht="15" customHeight="1" x14ac:dyDescent="0.25">
      <c r="A31" s="516"/>
      <c r="B31" s="528" t="s">
        <v>286</v>
      </c>
      <c r="C31" s="750" t="s">
        <v>392</v>
      </c>
      <c r="D31" s="876"/>
      <c r="E31" s="719">
        <v>0</v>
      </c>
      <c r="F31" s="720">
        <v>22</v>
      </c>
      <c r="G31" s="723">
        <f t="shared" si="1"/>
        <v>0</v>
      </c>
      <c r="H31" s="511">
        <v>0</v>
      </c>
      <c r="I31" s="512">
        <v>0</v>
      </c>
      <c r="J31" s="512">
        <v>0</v>
      </c>
      <c r="K31" s="512">
        <v>0</v>
      </c>
      <c r="L31" s="512">
        <v>0</v>
      </c>
      <c r="M31" s="512">
        <v>0</v>
      </c>
      <c r="N31" s="512">
        <v>0</v>
      </c>
      <c r="O31" s="512">
        <v>0</v>
      </c>
      <c r="P31" s="512">
        <v>0</v>
      </c>
      <c r="Q31" s="512">
        <v>0</v>
      </c>
      <c r="R31" s="512">
        <v>0</v>
      </c>
      <c r="S31" s="527">
        <v>0</v>
      </c>
    </row>
    <row r="32" spans="1:19" ht="15" customHeight="1" x14ac:dyDescent="0.25">
      <c r="A32" s="516"/>
      <c r="B32" s="528" t="s">
        <v>287</v>
      </c>
      <c r="C32" s="750" t="s">
        <v>392</v>
      </c>
      <c r="D32" s="876"/>
      <c r="E32" s="719">
        <v>0</v>
      </c>
      <c r="F32" s="720">
        <v>211</v>
      </c>
      <c r="G32" s="723">
        <f t="shared" si="1"/>
        <v>417</v>
      </c>
      <c r="H32" s="511">
        <v>26</v>
      </c>
      <c r="I32" s="512">
        <v>29</v>
      </c>
      <c r="J32" s="512">
        <v>30</v>
      </c>
      <c r="K32" s="512">
        <v>30</v>
      </c>
      <c r="L32" s="512">
        <v>34</v>
      </c>
      <c r="M32" s="512">
        <v>35</v>
      </c>
      <c r="N32" s="512">
        <v>40</v>
      </c>
      <c r="O32" s="512">
        <v>37</v>
      </c>
      <c r="P32" s="512">
        <v>39</v>
      </c>
      <c r="Q32" s="512">
        <v>38</v>
      </c>
      <c r="R32" s="512">
        <v>40</v>
      </c>
      <c r="S32" s="527">
        <v>39</v>
      </c>
    </row>
    <row r="33" spans="1:19" ht="15" customHeight="1" x14ac:dyDescent="0.25">
      <c r="A33" s="516"/>
      <c r="B33" s="522" t="s">
        <v>288</v>
      </c>
      <c r="C33" s="750" t="s">
        <v>392</v>
      </c>
      <c r="E33" s="719">
        <v>0</v>
      </c>
      <c r="F33" s="720">
        <v>90</v>
      </c>
      <c r="G33" s="681">
        <f>SUM(H33:S33)</f>
        <v>77</v>
      </c>
      <c r="H33" s="511">
        <v>8</v>
      </c>
      <c r="I33" s="512">
        <v>6</v>
      </c>
      <c r="J33" s="512">
        <v>6</v>
      </c>
      <c r="K33" s="561">
        <v>9</v>
      </c>
      <c r="L33" s="512">
        <v>0</v>
      </c>
      <c r="M33" s="512">
        <v>0</v>
      </c>
      <c r="N33" s="512">
        <v>15</v>
      </c>
      <c r="O33" s="512">
        <v>7</v>
      </c>
      <c r="P33" s="512">
        <v>6</v>
      </c>
      <c r="Q33" s="512">
        <v>7</v>
      </c>
      <c r="R33" s="512">
        <v>9</v>
      </c>
      <c r="S33" s="527">
        <v>4</v>
      </c>
    </row>
    <row r="34" spans="1:19" ht="15" customHeight="1" x14ac:dyDescent="0.25">
      <c r="A34" s="516"/>
      <c r="B34" s="522" t="s">
        <v>289</v>
      </c>
      <c r="C34" s="750" t="s">
        <v>392</v>
      </c>
      <c r="E34" s="719">
        <v>0</v>
      </c>
      <c r="F34" s="720">
        <v>77</v>
      </c>
      <c r="G34" s="517">
        <f>SUM(H34:S34)</f>
        <v>84</v>
      </c>
      <c r="H34" s="511">
        <v>15</v>
      </c>
      <c r="I34" s="512">
        <v>3</v>
      </c>
      <c r="J34" s="512">
        <v>3</v>
      </c>
      <c r="K34" s="561">
        <v>10</v>
      </c>
      <c r="L34" s="512">
        <v>9</v>
      </c>
      <c r="M34" s="512">
        <v>9</v>
      </c>
      <c r="N34" s="512">
        <v>11</v>
      </c>
      <c r="O34" s="512">
        <v>5</v>
      </c>
      <c r="P34" s="512">
        <v>4</v>
      </c>
      <c r="Q34" s="512">
        <v>6</v>
      </c>
      <c r="R34" s="512">
        <v>4</v>
      </c>
      <c r="S34" s="527">
        <v>5</v>
      </c>
    </row>
    <row r="35" spans="1:19" ht="15" customHeight="1" x14ac:dyDescent="0.25">
      <c r="A35" s="516"/>
      <c r="B35" s="762" t="s">
        <v>113</v>
      </c>
      <c r="C35" s="750" t="s">
        <v>392</v>
      </c>
      <c r="E35" s="719">
        <v>0</v>
      </c>
      <c r="F35" s="720">
        <v>6</v>
      </c>
      <c r="G35" s="517">
        <f t="shared" ref="G35:G40" si="2">SUM(H35:S35)</f>
        <v>7</v>
      </c>
      <c r="H35" s="511">
        <v>0</v>
      </c>
      <c r="I35" s="531">
        <v>1</v>
      </c>
      <c r="J35" s="531">
        <v>2</v>
      </c>
      <c r="K35" s="859">
        <v>1</v>
      </c>
      <c r="L35" s="531">
        <v>0</v>
      </c>
      <c r="M35" s="531">
        <v>0</v>
      </c>
      <c r="N35" s="531">
        <v>0</v>
      </c>
      <c r="O35" s="531">
        <v>3</v>
      </c>
      <c r="P35" s="531">
        <v>0</v>
      </c>
      <c r="Q35" s="531">
        <v>0</v>
      </c>
      <c r="R35" s="531">
        <v>0</v>
      </c>
      <c r="S35" s="532">
        <v>0</v>
      </c>
    </row>
    <row r="36" spans="1:19" ht="15" customHeight="1" x14ac:dyDescent="0.25">
      <c r="A36" s="516"/>
      <c r="B36" s="762" t="s">
        <v>139</v>
      </c>
      <c r="C36" s="750" t="s">
        <v>392</v>
      </c>
      <c r="E36" s="719">
        <v>0</v>
      </c>
      <c r="F36" s="720">
        <v>8</v>
      </c>
      <c r="G36" s="529">
        <f t="shared" si="2"/>
        <v>8</v>
      </c>
      <c r="H36" s="511">
        <v>4</v>
      </c>
      <c r="I36" s="531">
        <v>0</v>
      </c>
      <c r="J36" s="531">
        <v>0</v>
      </c>
      <c r="K36" s="859">
        <v>0</v>
      </c>
      <c r="L36" s="531">
        <v>1</v>
      </c>
      <c r="M36" s="531">
        <v>1</v>
      </c>
      <c r="N36" s="531">
        <v>0</v>
      </c>
      <c r="O36" s="531">
        <v>0</v>
      </c>
      <c r="P36" s="531">
        <v>0</v>
      </c>
      <c r="Q36" s="531">
        <v>0</v>
      </c>
      <c r="R36" s="531">
        <v>2</v>
      </c>
      <c r="S36" s="532">
        <v>0</v>
      </c>
    </row>
    <row r="37" spans="1:19" ht="15" customHeight="1" x14ac:dyDescent="0.25">
      <c r="A37" s="516"/>
      <c r="B37" s="762" t="s">
        <v>114</v>
      </c>
      <c r="C37" s="750" t="s">
        <v>392</v>
      </c>
      <c r="E37" s="719">
        <v>0</v>
      </c>
      <c r="F37" s="720">
        <v>5</v>
      </c>
      <c r="G37" s="529">
        <f t="shared" si="2"/>
        <v>16</v>
      </c>
      <c r="H37" s="511">
        <v>0</v>
      </c>
      <c r="I37" s="531">
        <v>0</v>
      </c>
      <c r="J37" s="531">
        <v>1</v>
      </c>
      <c r="K37" s="859">
        <v>4</v>
      </c>
      <c r="L37" s="531">
        <v>1</v>
      </c>
      <c r="M37" s="531">
        <v>0</v>
      </c>
      <c r="N37" s="531">
        <v>5</v>
      </c>
      <c r="O37" s="531">
        <v>0</v>
      </c>
      <c r="P37" s="531">
        <v>0</v>
      </c>
      <c r="Q37" s="531">
        <v>3</v>
      </c>
      <c r="R37" s="531">
        <v>1</v>
      </c>
      <c r="S37" s="532">
        <v>1</v>
      </c>
    </row>
    <row r="38" spans="1:19" ht="15" customHeight="1" x14ac:dyDescent="0.25">
      <c r="A38" s="516"/>
      <c r="B38" s="762" t="s">
        <v>115</v>
      </c>
      <c r="C38" s="750" t="s">
        <v>392</v>
      </c>
      <c r="E38" s="719">
        <v>0</v>
      </c>
      <c r="F38" s="720">
        <v>32</v>
      </c>
      <c r="G38" s="529">
        <f t="shared" si="2"/>
        <v>25</v>
      </c>
      <c r="H38" s="511">
        <v>7</v>
      </c>
      <c r="I38" s="531">
        <v>0</v>
      </c>
      <c r="J38" s="531">
        <v>0</v>
      </c>
      <c r="K38" s="859">
        <v>1</v>
      </c>
      <c r="L38" s="531">
        <v>4</v>
      </c>
      <c r="M38" s="531">
        <v>7</v>
      </c>
      <c r="N38" s="531">
        <v>1</v>
      </c>
      <c r="O38" s="531">
        <v>1</v>
      </c>
      <c r="P38" s="531">
        <v>2</v>
      </c>
      <c r="Q38" s="531">
        <v>1</v>
      </c>
      <c r="R38" s="531">
        <v>1</v>
      </c>
      <c r="S38" s="532">
        <v>0</v>
      </c>
    </row>
    <row r="39" spans="1:19" ht="15" customHeight="1" x14ac:dyDescent="0.25">
      <c r="A39" s="516"/>
      <c r="B39" s="762" t="s">
        <v>290</v>
      </c>
      <c r="C39" s="750" t="s">
        <v>392</v>
      </c>
      <c r="E39" s="719">
        <v>0</v>
      </c>
      <c r="F39" s="720">
        <v>19</v>
      </c>
      <c r="G39" s="529">
        <f t="shared" si="2"/>
        <v>26</v>
      </c>
      <c r="H39" s="511">
        <v>2</v>
      </c>
      <c r="I39" s="531">
        <v>2</v>
      </c>
      <c r="J39" s="531">
        <v>0</v>
      </c>
      <c r="K39" s="859">
        <v>4</v>
      </c>
      <c r="L39" s="531">
        <v>3</v>
      </c>
      <c r="M39" s="531">
        <v>1</v>
      </c>
      <c r="N39" s="531">
        <v>5</v>
      </c>
      <c r="O39" s="531">
        <v>3</v>
      </c>
      <c r="P39" s="531">
        <v>2</v>
      </c>
      <c r="Q39" s="531">
        <v>2</v>
      </c>
      <c r="R39" s="531">
        <v>0</v>
      </c>
      <c r="S39" s="532">
        <v>2</v>
      </c>
    </row>
    <row r="40" spans="1:19" ht="15" customHeight="1" x14ac:dyDescent="0.25">
      <c r="A40" s="516"/>
      <c r="B40" s="761" t="s">
        <v>281</v>
      </c>
      <c r="C40" s="750" t="s">
        <v>392</v>
      </c>
      <c r="D40" s="877"/>
      <c r="E40" s="721">
        <v>0</v>
      </c>
      <c r="F40" s="720">
        <v>7</v>
      </c>
      <c r="G40" s="530">
        <f t="shared" si="2"/>
        <v>4</v>
      </c>
      <c r="H40" s="665">
        <v>0</v>
      </c>
      <c r="I40" s="669">
        <v>0</v>
      </c>
      <c r="J40" s="669">
        <v>0</v>
      </c>
      <c r="K40" s="860">
        <v>0</v>
      </c>
      <c r="L40" s="669">
        <v>0</v>
      </c>
      <c r="M40" s="669">
        <v>0</v>
      </c>
      <c r="N40" s="669">
        <v>0</v>
      </c>
      <c r="O40" s="669">
        <v>1</v>
      </c>
      <c r="P40" s="669">
        <v>0</v>
      </c>
      <c r="Q40" s="669">
        <v>0</v>
      </c>
      <c r="R40" s="669">
        <v>0</v>
      </c>
      <c r="S40" s="560">
        <v>3</v>
      </c>
    </row>
    <row r="41" spans="1:19" s="655" customFormat="1" ht="15.95" customHeight="1" x14ac:dyDescent="0.25">
      <c r="A41" s="654"/>
      <c r="B41" s="1051" t="s">
        <v>292</v>
      </c>
      <c r="C41" s="1052"/>
      <c r="D41" s="1052"/>
      <c r="E41" s="1052"/>
      <c r="F41" s="1052"/>
      <c r="G41" s="1052"/>
      <c r="H41" s="1052"/>
      <c r="I41" s="1052"/>
      <c r="J41" s="1052"/>
      <c r="K41" s="1052"/>
      <c r="L41" s="1052"/>
      <c r="M41" s="1052"/>
      <c r="N41" s="1052"/>
      <c r="O41" s="1052"/>
      <c r="P41" s="1052"/>
      <c r="Q41" s="1052"/>
      <c r="R41" s="1052"/>
      <c r="S41" s="1053"/>
    </row>
    <row r="42" spans="1:19" ht="15" customHeight="1" x14ac:dyDescent="0.25">
      <c r="A42" s="516"/>
      <c r="B42" s="509" t="s">
        <v>291</v>
      </c>
      <c r="C42" s="902"/>
      <c r="D42" s="871"/>
      <c r="E42" s="511">
        <v>23</v>
      </c>
      <c r="F42" s="662">
        <v>2</v>
      </c>
      <c r="G42" s="529">
        <f>SUM(H42:S42)</f>
        <v>4</v>
      </c>
      <c r="H42" s="511">
        <v>0</v>
      </c>
      <c r="I42" s="531">
        <v>0</v>
      </c>
      <c r="J42" s="531">
        <v>0</v>
      </c>
      <c r="K42" s="859">
        <v>0</v>
      </c>
      <c r="L42" s="531">
        <v>2</v>
      </c>
      <c r="M42" s="531">
        <v>0</v>
      </c>
      <c r="N42" s="531">
        <v>0</v>
      </c>
      <c r="O42" s="531">
        <v>0</v>
      </c>
      <c r="P42" s="531">
        <v>0</v>
      </c>
      <c r="Q42" s="531">
        <v>1</v>
      </c>
      <c r="R42" s="531">
        <v>1</v>
      </c>
      <c r="S42" s="532">
        <v>0</v>
      </c>
    </row>
    <row r="43" spans="1:19" ht="15" customHeight="1" x14ac:dyDescent="0.25">
      <c r="A43" s="516"/>
      <c r="B43" s="522" t="s">
        <v>294</v>
      </c>
      <c r="C43" s="904"/>
      <c r="D43" s="873"/>
      <c r="E43" s="519">
        <v>17</v>
      </c>
      <c r="F43" s="663">
        <v>30</v>
      </c>
      <c r="G43" s="517">
        <f>SUM(H43:S43)</f>
        <v>21</v>
      </c>
      <c r="H43" s="511">
        <v>7</v>
      </c>
      <c r="I43" s="531">
        <v>0</v>
      </c>
      <c r="J43" s="531">
        <v>0</v>
      </c>
      <c r="K43" s="859">
        <v>1</v>
      </c>
      <c r="L43" s="531">
        <v>2</v>
      </c>
      <c r="M43" s="531">
        <v>7</v>
      </c>
      <c r="N43" s="531">
        <v>1</v>
      </c>
      <c r="O43" s="531">
        <v>1</v>
      </c>
      <c r="P43" s="531">
        <v>2</v>
      </c>
      <c r="Q43" s="531">
        <v>0</v>
      </c>
      <c r="R43" s="531">
        <v>0</v>
      </c>
      <c r="S43" s="532">
        <v>0</v>
      </c>
    </row>
    <row r="44" spans="1:19" ht="15" customHeight="1" x14ac:dyDescent="0.25">
      <c r="A44" s="516"/>
      <c r="B44" s="522" t="s">
        <v>295</v>
      </c>
      <c r="C44" s="903"/>
      <c r="D44" s="872"/>
      <c r="E44" s="524">
        <v>31</v>
      </c>
      <c r="F44" s="664">
        <v>19</v>
      </c>
      <c r="G44" s="530">
        <f>SUM(H44:S44)</f>
        <v>22</v>
      </c>
      <c r="H44" s="511">
        <v>4</v>
      </c>
      <c r="I44" s="531">
        <v>10</v>
      </c>
      <c r="J44" s="531">
        <v>1</v>
      </c>
      <c r="K44" s="859">
        <v>0</v>
      </c>
      <c r="L44" s="531">
        <v>0</v>
      </c>
      <c r="M44" s="531">
        <v>3</v>
      </c>
      <c r="N44" s="531">
        <v>1</v>
      </c>
      <c r="O44" s="531">
        <v>0</v>
      </c>
      <c r="P44" s="531">
        <v>1</v>
      </c>
      <c r="Q44" s="531">
        <v>0</v>
      </c>
      <c r="R44" s="531">
        <v>2</v>
      </c>
      <c r="S44" s="532">
        <v>0</v>
      </c>
    </row>
    <row r="45" spans="1:19" ht="15" hidden="1" customHeight="1" x14ac:dyDescent="0.25">
      <c r="A45" s="516"/>
      <c r="B45" s="522" t="s">
        <v>29</v>
      </c>
      <c r="C45" s="750"/>
      <c r="E45" s="1076"/>
      <c r="F45" s="1077"/>
      <c r="G45" s="1078"/>
      <c r="H45" s="519">
        <v>28</v>
      </c>
      <c r="I45" s="520">
        <v>29</v>
      </c>
      <c r="J45" s="520">
        <v>30</v>
      </c>
      <c r="K45" s="505" t="s">
        <v>136</v>
      </c>
      <c r="L45" s="520">
        <v>36</v>
      </c>
      <c r="M45" s="520">
        <v>36</v>
      </c>
      <c r="N45" s="520">
        <v>38</v>
      </c>
      <c r="O45" s="520">
        <v>30</v>
      </c>
      <c r="P45" s="520">
        <v>30</v>
      </c>
      <c r="Q45" s="520"/>
      <c r="R45" s="520"/>
      <c r="S45" s="532"/>
    </row>
    <row r="46" spans="1:19" ht="15" hidden="1" customHeight="1" x14ac:dyDescent="0.25">
      <c r="A46" s="516"/>
      <c r="B46" s="522" t="s">
        <v>30</v>
      </c>
      <c r="C46" s="750"/>
      <c r="E46" s="1076"/>
      <c r="F46" s="1077"/>
      <c r="G46" s="1078"/>
      <c r="H46" s="533">
        <v>23</v>
      </c>
      <c r="I46" s="533">
        <v>29</v>
      </c>
      <c r="J46" s="533">
        <v>21</v>
      </c>
      <c r="K46" s="505" t="s">
        <v>136</v>
      </c>
      <c r="L46" s="505" t="s">
        <v>136</v>
      </c>
      <c r="M46" s="505" t="s">
        <v>136</v>
      </c>
      <c r="N46" s="505" t="s">
        <v>136</v>
      </c>
      <c r="O46" s="505" t="s">
        <v>136</v>
      </c>
      <c r="P46" s="533"/>
      <c r="Q46" s="533"/>
      <c r="R46" s="520"/>
      <c r="S46" s="532"/>
    </row>
    <row r="47" spans="1:19" ht="15" hidden="1" customHeight="1" x14ac:dyDescent="0.25">
      <c r="A47" s="516"/>
      <c r="B47" s="522" t="s">
        <v>36</v>
      </c>
      <c r="C47" s="902"/>
      <c r="D47" s="871"/>
      <c r="E47" s="788">
        <v>52</v>
      </c>
      <c r="F47" s="789">
        <v>70</v>
      </c>
      <c r="G47" s="529">
        <f>SUM(H47:S47)</f>
        <v>12</v>
      </c>
      <c r="H47" s="519">
        <v>6</v>
      </c>
      <c r="I47" s="520">
        <v>6</v>
      </c>
      <c r="J47" s="505" t="s">
        <v>136</v>
      </c>
      <c r="K47" s="505" t="s">
        <v>136</v>
      </c>
      <c r="L47" s="505" t="s">
        <v>136</v>
      </c>
      <c r="M47" s="505" t="s">
        <v>136</v>
      </c>
      <c r="N47" s="505" t="s">
        <v>136</v>
      </c>
      <c r="O47" s="520">
        <v>0</v>
      </c>
      <c r="P47" s="520">
        <v>0</v>
      </c>
      <c r="Q47" s="520"/>
      <c r="R47" s="520"/>
      <c r="S47" s="521"/>
    </row>
    <row r="48" spans="1:19" ht="15" hidden="1" customHeight="1" x14ac:dyDescent="0.25">
      <c r="A48" s="516"/>
      <c r="B48" s="514" t="s">
        <v>35</v>
      </c>
      <c r="C48" s="903"/>
      <c r="D48" s="872"/>
      <c r="E48" s="790">
        <v>269</v>
      </c>
      <c r="F48" s="791">
        <v>300</v>
      </c>
      <c r="G48" s="530">
        <f>SUM(H48:S48)</f>
        <v>250</v>
      </c>
      <c r="H48" s="524">
        <v>33</v>
      </c>
      <c r="I48" s="525">
        <v>22</v>
      </c>
      <c r="J48" s="533">
        <v>17</v>
      </c>
      <c r="K48" s="533">
        <v>23</v>
      </c>
      <c r="L48" s="533">
        <v>23</v>
      </c>
      <c r="M48" s="533">
        <v>32</v>
      </c>
      <c r="N48" s="525">
        <v>30</v>
      </c>
      <c r="O48" s="525">
        <v>34</v>
      </c>
      <c r="P48" s="525">
        <v>36</v>
      </c>
      <c r="Q48" s="525"/>
      <c r="R48" s="525"/>
      <c r="S48" s="526"/>
    </row>
    <row r="49" spans="1:19" s="655" customFormat="1" ht="15.95" customHeight="1" x14ac:dyDescent="0.25">
      <c r="A49" s="654"/>
      <c r="B49" s="1079" t="s">
        <v>382</v>
      </c>
      <c r="C49" s="1080"/>
      <c r="D49" s="1080"/>
      <c r="E49" s="1080"/>
      <c r="F49" s="1080"/>
      <c r="G49" s="1080"/>
      <c r="H49" s="1080"/>
      <c r="I49" s="1080"/>
      <c r="J49" s="1080"/>
      <c r="K49" s="1080"/>
      <c r="L49" s="1080"/>
      <c r="M49" s="1080"/>
      <c r="N49" s="1080"/>
      <c r="O49" s="1080"/>
      <c r="P49" s="1080"/>
      <c r="Q49" s="1080"/>
      <c r="R49" s="1080"/>
      <c r="S49" s="1081"/>
    </row>
    <row r="50" spans="1:19" ht="15" customHeight="1" x14ac:dyDescent="0.25">
      <c r="A50" s="516"/>
      <c r="B50" s="509" t="s">
        <v>296</v>
      </c>
      <c r="C50" s="750"/>
      <c r="E50" s="724">
        <v>0</v>
      </c>
      <c r="F50" s="725">
        <v>988</v>
      </c>
      <c r="G50" s="722">
        <f>SUM(H50:S50)</f>
        <v>1176</v>
      </c>
      <c r="H50" s="511">
        <v>80</v>
      </c>
      <c r="I50" s="670">
        <v>94</v>
      </c>
      <c r="J50" s="670">
        <v>95</v>
      </c>
      <c r="K50" s="861">
        <v>99</v>
      </c>
      <c r="L50" s="670">
        <v>100</v>
      </c>
      <c r="M50" s="670">
        <v>99</v>
      </c>
      <c r="N50" s="670">
        <v>101</v>
      </c>
      <c r="O50" s="670">
        <v>103</v>
      </c>
      <c r="P50" s="670">
        <v>104</v>
      </c>
      <c r="Q50" s="670">
        <v>101</v>
      </c>
      <c r="R50" s="670">
        <v>101</v>
      </c>
      <c r="S50" s="671">
        <v>99</v>
      </c>
    </row>
    <row r="51" spans="1:19" ht="15" customHeight="1" x14ac:dyDescent="0.25">
      <c r="A51" s="516"/>
      <c r="B51" s="762" t="s">
        <v>297</v>
      </c>
      <c r="C51" s="907"/>
      <c r="E51" s="724">
        <v>0</v>
      </c>
      <c r="F51" s="725">
        <v>27</v>
      </c>
      <c r="G51" s="723">
        <f>SUM(H51:S51)</f>
        <v>18</v>
      </c>
      <c r="H51" s="511">
        <v>1</v>
      </c>
      <c r="I51" s="525">
        <v>2</v>
      </c>
      <c r="J51" s="525">
        <v>4</v>
      </c>
      <c r="K51" s="812">
        <v>1</v>
      </c>
      <c r="L51" s="525">
        <v>1</v>
      </c>
      <c r="M51" s="525">
        <v>1</v>
      </c>
      <c r="N51" s="525">
        <v>1</v>
      </c>
      <c r="O51" s="525">
        <v>2</v>
      </c>
      <c r="P51" s="525">
        <v>2</v>
      </c>
      <c r="Q51" s="525">
        <v>0</v>
      </c>
      <c r="R51" s="525">
        <v>2</v>
      </c>
      <c r="S51" s="526">
        <v>1</v>
      </c>
    </row>
    <row r="52" spans="1:19" ht="15" customHeight="1" x14ac:dyDescent="0.25">
      <c r="A52" s="516"/>
      <c r="B52" s="762" t="s">
        <v>298</v>
      </c>
      <c r="C52" s="907"/>
      <c r="E52" s="724">
        <v>0</v>
      </c>
      <c r="F52" s="725">
        <v>21</v>
      </c>
      <c r="G52" s="723">
        <f>SUM(H52:S52)</f>
        <v>14</v>
      </c>
      <c r="H52" s="511">
        <v>1</v>
      </c>
      <c r="I52" s="525">
        <v>3</v>
      </c>
      <c r="J52" s="525">
        <v>1</v>
      </c>
      <c r="K52" s="812">
        <v>0</v>
      </c>
      <c r="L52" s="525">
        <v>0</v>
      </c>
      <c r="M52" s="525">
        <v>2</v>
      </c>
      <c r="N52" s="525">
        <v>0</v>
      </c>
      <c r="O52" s="525">
        <v>1</v>
      </c>
      <c r="P52" s="525">
        <v>0</v>
      </c>
      <c r="Q52" s="525">
        <v>2</v>
      </c>
      <c r="R52" s="525">
        <v>2</v>
      </c>
      <c r="S52" s="526">
        <v>2</v>
      </c>
    </row>
    <row r="53" spans="1:19" ht="15" customHeight="1" x14ac:dyDescent="0.25">
      <c r="A53" s="516"/>
      <c r="B53" s="534" t="s">
        <v>299</v>
      </c>
      <c r="E53" s="724">
        <v>0</v>
      </c>
      <c r="F53" s="725">
        <v>195</v>
      </c>
      <c r="G53" s="723">
        <f>SUM(H53:S53)</f>
        <v>221</v>
      </c>
      <c r="H53" s="511">
        <v>17</v>
      </c>
      <c r="I53" s="525">
        <v>4</v>
      </c>
      <c r="J53" s="525">
        <v>22</v>
      </c>
      <c r="K53" s="812">
        <v>22</v>
      </c>
      <c r="L53" s="525">
        <v>29</v>
      </c>
      <c r="M53" s="525">
        <v>20</v>
      </c>
      <c r="N53" s="525">
        <v>25</v>
      </c>
      <c r="O53" s="525">
        <v>24</v>
      </c>
      <c r="P53" s="525">
        <v>18</v>
      </c>
      <c r="Q53" s="525">
        <v>17</v>
      </c>
      <c r="R53" s="525">
        <v>14</v>
      </c>
      <c r="S53" s="526">
        <v>9</v>
      </c>
    </row>
    <row r="54" spans="1:19" ht="15" customHeight="1" x14ac:dyDescent="0.25">
      <c r="A54" s="516"/>
      <c r="B54" s="535" t="s">
        <v>300</v>
      </c>
      <c r="E54" s="687">
        <v>57</v>
      </c>
      <c r="F54" s="688">
        <v>77</v>
      </c>
      <c r="G54" s="689">
        <f>SUM(H54:S54)</f>
        <v>72</v>
      </c>
      <c r="H54" s="665">
        <v>2</v>
      </c>
      <c r="I54" s="525">
        <v>20</v>
      </c>
      <c r="J54" s="525">
        <v>2</v>
      </c>
      <c r="K54" s="812">
        <v>14</v>
      </c>
      <c r="L54" s="812">
        <v>0</v>
      </c>
      <c r="M54" s="812">
        <v>0</v>
      </c>
      <c r="N54" s="525">
        <v>4</v>
      </c>
      <c r="O54" s="525">
        <v>30</v>
      </c>
      <c r="P54" s="525">
        <v>0</v>
      </c>
      <c r="Q54" s="525">
        <v>0</v>
      </c>
      <c r="R54" s="525">
        <v>0</v>
      </c>
      <c r="S54" s="526">
        <v>0</v>
      </c>
    </row>
    <row r="55" spans="1:19" s="655" customFormat="1" ht="15.95" customHeight="1" x14ac:dyDescent="0.25">
      <c r="A55" s="654"/>
      <c r="B55" s="1051" t="s">
        <v>39</v>
      </c>
      <c r="C55" s="1052"/>
      <c r="D55" s="1052"/>
      <c r="E55" s="1052"/>
      <c r="F55" s="1052"/>
      <c r="G55" s="1052"/>
      <c r="H55" s="1052"/>
      <c r="I55" s="1052"/>
      <c r="J55" s="1052"/>
      <c r="K55" s="1052"/>
      <c r="L55" s="1052"/>
      <c r="M55" s="1052"/>
      <c r="N55" s="1052"/>
      <c r="O55" s="1052"/>
      <c r="P55" s="1052"/>
      <c r="Q55" s="1052"/>
      <c r="R55" s="1052"/>
      <c r="S55" s="1053"/>
    </row>
    <row r="56" spans="1:19" ht="15" customHeight="1" x14ac:dyDescent="0.25">
      <c r="A56" s="516"/>
      <c r="B56" s="536" t="s">
        <v>372</v>
      </c>
      <c r="C56" s="909"/>
      <c r="D56" s="871"/>
      <c r="E56" s="537">
        <v>403</v>
      </c>
      <c r="F56" s="667">
        <v>290</v>
      </c>
      <c r="G56" s="510">
        <f t="shared" ref="G56:G61" si="3">SUM(H56:S56)</f>
        <v>191</v>
      </c>
      <c r="H56" s="537">
        <v>3</v>
      </c>
      <c r="I56" s="538">
        <v>4</v>
      </c>
      <c r="J56" s="538">
        <v>0</v>
      </c>
      <c r="K56" s="538">
        <v>0</v>
      </c>
      <c r="L56" s="538">
        <v>0</v>
      </c>
      <c r="M56" s="538">
        <v>0</v>
      </c>
      <c r="N56" s="538">
        <v>0</v>
      </c>
      <c r="O56" s="538">
        <v>0</v>
      </c>
      <c r="P56" s="538">
        <v>0</v>
      </c>
      <c r="Q56" s="538">
        <v>12</v>
      </c>
      <c r="R56" s="538">
        <v>0</v>
      </c>
      <c r="S56" s="569">
        <v>172</v>
      </c>
    </row>
    <row r="57" spans="1:19" ht="15" customHeight="1" x14ac:dyDescent="0.25">
      <c r="A57" s="516"/>
      <c r="B57" s="762" t="s">
        <v>301</v>
      </c>
      <c r="C57" s="910"/>
      <c r="D57" s="873"/>
      <c r="E57" s="540">
        <v>379</v>
      </c>
      <c r="F57" s="660">
        <v>224</v>
      </c>
      <c r="G57" s="523">
        <f t="shared" si="3"/>
        <v>119</v>
      </c>
      <c r="H57" s="540">
        <v>3</v>
      </c>
      <c r="I57" s="541">
        <v>4</v>
      </c>
      <c r="J57" s="541">
        <v>0</v>
      </c>
      <c r="K57" s="541">
        <v>0</v>
      </c>
      <c r="L57" s="541">
        <v>0</v>
      </c>
      <c r="M57" s="541">
        <v>0</v>
      </c>
      <c r="N57" s="541">
        <v>0</v>
      </c>
      <c r="O57" s="541">
        <v>0</v>
      </c>
      <c r="P57" s="541">
        <v>0</v>
      </c>
      <c r="Q57" s="541">
        <v>8</v>
      </c>
      <c r="R57" s="541">
        <v>0</v>
      </c>
      <c r="S57" s="539">
        <v>104</v>
      </c>
    </row>
    <row r="58" spans="1:19" ht="15" customHeight="1" x14ac:dyDescent="0.25">
      <c r="A58" s="516"/>
      <c r="B58" s="534" t="s">
        <v>373</v>
      </c>
      <c r="C58" s="911"/>
      <c r="D58" s="873"/>
      <c r="E58" s="540">
        <v>1895</v>
      </c>
      <c r="F58" s="660">
        <v>1882</v>
      </c>
      <c r="G58" s="523">
        <f t="shared" si="3"/>
        <v>1421</v>
      </c>
      <c r="H58" s="540">
        <v>0</v>
      </c>
      <c r="I58" s="541">
        <v>0</v>
      </c>
      <c r="J58" s="541">
        <v>67</v>
      </c>
      <c r="K58" s="853">
        <v>671</v>
      </c>
      <c r="L58" s="541">
        <v>683</v>
      </c>
      <c r="M58" s="541">
        <v>0</v>
      </c>
      <c r="N58" s="541">
        <v>0</v>
      </c>
      <c r="O58" s="541">
        <v>0</v>
      </c>
      <c r="P58" s="541">
        <v>0</v>
      </c>
      <c r="Q58" s="541">
        <v>0</v>
      </c>
      <c r="R58" s="541">
        <v>0</v>
      </c>
      <c r="S58" s="539">
        <v>0</v>
      </c>
    </row>
    <row r="59" spans="1:19" ht="15" customHeight="1" x14ac:dyDescent="0.25">
      <c r="A59" s="516"/>
      <c r="B59" s="762" t="s">
        <v>302</v>
      </c>
      <c r="C59" s="910"/>
      <c r="D59" s="873"/>
      <c r="E59" s="540">
        <v>1758</v>
      </c>
      <c r="F59" s="660">
        <v>1796</v>
      </c>
      <c r="G59" s="523">
        <f t="shared" si="3"/>
        <v>1250</v>
      </c>
      <c r="H59" s="540">
        <v>0</v>
      </c>
      <c r="I59" s="541">
        <v>0</v>
      </c>
      <c r="J59" s="541">
        <v>67</v>
      </c>
      <c r="K59" s="853">
        <v>560</v>
      </c>
      <c r="L59" s="541">
        <v>623</v>
      </c>
      <c r="M59" s="541">
        <v>0</v>
      </c>
      <c r="N59" s="541">
        <v>0</v>
      </c>
      <c r="O59" s="541">
        <v>0</v>
      </c>
      <c r="P59" s="541">
        <v>0</v>
      </c>
      <c r="Q59" s="541">
        <v>0</v>
      </c>
      <c r="R59" s="541">
        <v>0</v>
      </c>
      <c r="S59" s="539">
        <v>0</v>
      </c>
    </row>
    <row r="60" spans="1:19" ht="15" customHeight="1" x14ac:dyDescent="0.25">
      <c r="A60" s="516"/>
      <c r="B60" s="534" t="s">
        <v>374</v>
      </c>
      <c r="C60" s="911"/>
      <c r="D60" s="873"/>
      <c r="E60" s="540">
        <v>3325</v>
      </c>
      <c r="F60" s="660">
        <v>3095</v>
      </c>
      <c r="G60" s="523">
        <f t="shared" si="3"/>
        <v>3350</v>
      </c>
      <c r="H60" s="540">
        <v>0</v>
      </c>
      <c r="I60" s="541">
        <v>0</v>
      </c>
      <c r="J60" s="541">
        <v>72</v>
      </c>
      <c r="K60" s="853">
        <v>971</v>
      </c>
      <c r="L60" s="541">
        <v>1152</v>
      </c>
      <c r="M60" s="541">
        <v>1155</v>
      </c>
      <c r="N60" s="541">
        <v>0</v>
      </c>
      <c r="O60" s="541">
        <v>0</v>
      </c>
      <c r="P60" s="541">
        <v>0</v>
      </c>
      <c r="Q60" s="541">
        <v>0</v>
      </c>
      <c r="R60" s="541">
        <v>0</v>
      </c>
      <c r="S60" s="539">
        <v>0</v>
      </c>
    </row>
    <row r="61" spans="1:19" ht="15" customHeight="1" x14ac:dyDescent="0.25">
      <c r="A61" s="516"/>
      <c r="B61" s="761" t="s">
        <v>303</v>
      </c>
      <c r="C61" s="906"/>
      <c r="D61" s="872"/>
      <c r="E61" s="595">
        <v>3197</v>
      </c>
      <c r="F61" s="661">
        <v>2892</v>
      </c>
      <c r="G61" s="515">
        <f t="shared" si="3"/>
        <v>3135</v>
      </c>
      <c r="H61" s="595">
        <v>0</v>
      </c>
      <c r="I61" s="559">
        <v>0</v>
      </c>
      <c r="J61" s="559">
        <v>72</v>
      </c>
      <c r="K61" s="854">
        <v>756</v>
      </c>
      <c r="L61" s="541">
        <v>1152</v>
      </c>
      <c r="M61" s="559">
        <v>1155</v>
      </c>
      <c r="N61" s="559">
        <v>0</v>
      </c>
      <c r="O61" s="559">
        <v>0</v>
      </c>
      <c r="P61" s="559">
        <v>0</v>
      </c>
      <c r="Q61" s="559">
        <v>0</v>
      </c>
      <c r="R61" s="559">
        <v>0</v>
      </c>
      <c r="S61" s="571">
        <v>0</v>
      </c>
    </row>
    <row r="62" spans="1:19" s="655" customFormat="1" ht="15.95" customHeight="1" x14ac:dyDescent="0.25">
      <c r="A62" s="654"/>
      <c r="B62" s="1051" t="s">
        <v>240</v>
      </c>
      <c r="C62" s="1052"/>
      <c r="D62" s="1052"/>
      <c r="E62" s="1052"/>
      <c r="F62" s="1052"/>
      <c r="G62" s="1052"/>
      <c r="H62" s="1052"/>
      <c r="I62" s="1052"/>
      <c r="J62" s="1052"/>
      <c r="K62" s="1052"/>
      <c r="L62" s="1052"/>
      <c r="M62" s="1052"/>
      <c r="N62" s="1052"/>
      <c r="O62" s="1052"/>
      <c r="P62" s="1052"/>
      <c r="Q62" s="1052"/>
      <c r="R62" s="1052"/>
      <c r="S62" s="1053"/>
    </row>
    <row r="63" spans="1:19" ht="15" customHeight="1" x14ac:dyDescent="0.25">
      <c r="A63" s="516"/>
      <c r="B63" s="509" t="s">
        <v>304</v>
      </c>
      <c r="C63" s="750"/>
      <c r="E63" s="724">
        <v>0</v>
      </c>
      <c r="F63" s="544">
        <v>2755926.6100000003</v>
      </c>
      <c r="G63" s="544">
        <f>SUM(H63:S63)</f>
        <v>3094534.5100000002</v>
      </c>
      <c r="H63" s="545">
        <v>265869.5</v>
      </c>
      <c r="I63" s="554">
        <v>245827.65</v>
      </c>
      <c r="J63" s="554">
        <v>238270.19</v>
      </c>
      <c r="K63" s="855">
        <v>243764.66</v>
      </c>
      <c r="L63" s="554">
        <v>239777.51</v>
      </c>
      <c r="M63" s="554">
        <v>250902.89</v>
      </c>
      <c r="N63" s="554">
        <v>253038.2</v>
      </c>
      <c r="O63" s="554">
        <v>257688.54</v>
      </c>
      <c r="P63" s="554">
        <v>268630.45</v>
      </c>
      <c r="Q63" s="554">
        <v>257897.8</v>
      </c>
      <c r="R63" s="554">
        <v>285576.06</v>
      </c>
      <c r="S63" s="546">
        <v>287291.06</v>
      </c>
    </row>
    <row r="64" spans="1:19" ht="15" customHeight="1" x14ac:dyDescent="0.25">
      <c r="A64" s="516"/>
      <c r="B64" s="522" t="s">
        <v>305</v>
      </c>
      <c r="C64" s="750"/>
      <c r="E64" s="724">
        <v>0</v>
      </c>
      <c r="F64" s="547">
        <v>34195.85</v>
      </c>
      <c r="G64" s="547">
        <f t="shared" ref="G64:G72" si="4">SUM(H64:S64)</f>
        <v>35037.230000000003</v>
      </c>
      <c r="H64" s="548">
        <v>3075.93</v>
      </c>
      <c r="I64" s="554">
        <v>2789.75</v>
      </c>
      <c r="J64" s="554">
        <v>2833.99</v>
      </c>
      <c r="K64" s="855">
        <v>2947.36</v>
      </c>
      <c r="L64" s="554">
        <v>2912.22</v>
      </c>
      <c r="M64" s="554">
        <v>2941.09</v>
      </c>
      <c r="N64" s="554">
        <v>2864.84</v>
      </c>
      <c r="O64" s="554">
        <v>2891.97</v>
      </c>
      <c r="P64" s="554">
        <v>2890.12</v>
      </c>
      <c r="Q64" s="554">
        <v>2837.54</v>
      </c>
      <c r="R64" s="554">
        <v>2982.36</v>
      </c>
      <c r="S64" s="546">
        <v>3070.06</v>
      </c>
    </row>
    <row r="65" spans="1:20" ht="15" customHeight="1" x14ac:dyDescent="0.25">
      <c r="A65" s="516"/>
      <c r="B65" s="522" t="s">
        <v>243</v>
      </c>
      <c r="C65" s="750"/>
      <c r="E65" s="724">
        <v>0</v>
      </c>
      <c r="F65" s="549">
        <v>108307.32999999999</v>
      </c>
      <c r="G65" s="547">
        <f t="shared" si="4"/>
        <v>116606.05</v>
      </c>
      <c r="H65" s="548">
        <f>12280+12940</f>
        <v>25220</v>
      </c>
      <c r="I65" s="554">
        <v>4105.0200000000004</v>
      </c>
      <c r="J65" s="554">
        <v>430</v>
      </c>
      <c r="K65" s="855">
        <f>16380+13130</f>
        <v>29510</v>
      </c>
      <c r="L65" s="554">
        <v>360</v>
      </c>
      <c r="M65" s="554">
        <v>0</v>
      </c>
      <c r="N65" s="554">
        <v>26611.03</v>
      </c>
      <c r="O65" s="554">
        <v>1170</v>
      </c>
      <c r="P65" s="554">
        <v>110</v>
      </c>
      <c r="Q65" s="554">
        <v>26500</v>
      </c>
      <c r="R65" s="834">
        <v>2060</v>
      </c>
      <c r="S65" s="546">
        <v>530</v>
      </c>
    </row>
    <row r="66" spans="1:20" ht="15" customHeight="1" x14ac:dyDescent="0.25">
      <c r="A66" s="516"/>
      <c r="B66" s="514" t="s">
        <v>244</v>
      </c>
      <c r="C66" s="750"/>
      <c r="E66" s="724">
        <v>0</v>
      </c>
      <c r="F66" s="547">
        <v>15228.740000000002</v>
      </c>
      <c r="G66" s="547">
        <f t="shared" si="4"/>
        <v>32788.129999999997</v>
      </c>
      <c r="H66" s="548">
        <v>911.2</v>
      </c>
      <c r="I66" s="554">
        <v>120</v>
      </c>
      <c r="J66" s="554">
        <v>940.64</v>
      </c>
      <c r="K66" s="855">
        <v>1580.5</v>
      </c>
      <c r="L66" s="554">
        <v>2301</v>
      </c>
      <c r="M66" s="554">
        <v>527</v>
      </c>
      <c r="N66" s="554">
        <v>6220.22</v>
      </c>
      <c r="O66" s="554">
        <v>3284.32</v>
      </c>
      <c r="P66" s="554">
        <v>5009</v>
      </c>
      <c r="Q66" s="923">
        <v>4101</v>
      </c>
      <c r="R66" s="554">
        <f>5369.08 + 432.06</f>
        <v>5801.14</v>
      </c>
      <c r="S66" s="546">
        <f>SUM(1196.03 + 450 + 346.08)</f>
        <v>1992.11</v>
      </c>
    </row>
    <row r="67" spans="1:20" ht="15" customHeight="1" x14ac:dyDescent="0.25">
      <c r="A67" s="516"/>
      <c r="B67" s="509" t="s">
        <v>245</v>
      </c>
      <c r="C67" s="750"/>
      <c r="E67" s="724">
        <v>0</v>
      </c>
      <c r="F67" s="547">
        <v>165962.40000000002</v>
      </c>
      <c r="G67" s="547">
        <f t="shared" si="4"/>
        <v>277181.44</v>
      </c>
      <c r="H67" s="548">
        <v>37323.01</v>
      </c>
      <c r="I67" s="554">
        <v>46676.97</v>
      </c>
      <c r="J67" s="554">
        <v>19637.310000000001</v>
      </c>
      <c r="K67" s="855">
        <v>13517.13</v>
      </c>
      <c r="L67" s="554">
        <v>10450.040000000001</v>
      </c>
      <c r="M67" s="554">
        <v>11397.1</v>
      </c>
      <c r="N67" s="554">
        <v>21749.15</v>
      </c>
      <c r="O67" s="554">
        <v>23985.53</v>
      </c>
      <c r="P67" s="554">
        <v>18038.79</v>
      </c>
      <c r="Q67" s="554">
        <v>16302.04</v>
      </c>
      <c r="R67" s="554">
        <v>35338.21</v>
      </c>
      <c r="S67" s="546">
        <v>22766.16</v>
      </c>
    </row>
    <row r="68" spans="1:20" ht="15" customHeight="1" x14ac:dyDescent="0.25">
      <c r="A68" s="516"/>
      <c r="B68" s="522" t="s">
        <v>306</v>
      </c>
      <c r="C68" s="750"/>
      <c r="E68" s="724">
        <v>0</v>
      </c>
      <c r="F68" s="547">
        <v>47243.45</v>
      </c>
      <c r="G68" s="547">
        <f t="shared" si="4"/>
        <v>52789.42</v>
      </c>
      <c r="H68" s="548">
        <v>9641.5400000000009</v>
      </c>
      <c r="I68" s="554">
        <v>1197</v>
      </c>
      <c r="J68" s="554">
        <v>1270.97</v>
      </c>
      <c r="K68" s="855">
        <v>1302.5</v>
      </c>
      <c r="L68" s="554">
        <v>651.82000000000005</v>
      </c>
      <c r="M68" s="554">
        <v>1768</v>
      </c>
      <c r="N68" s="554">
        <v>2806</v>
      </c>
      <c r="O68" s="554">
        <v>3714.1</v>
      </c>
      <c r="P68" s="554">
        <v>5692.82</v>
      </c>
      <c r="Q68" s="554">
        <v>1141.1500000000001</v>
      </c>
      <c r="R68" s="554">
        <v>18054</v>
      </c>
      <c r="S68" s="546">
        <v>5549.52</v>
      </c>
    </row>
    <row r="69" spans="1:20" ht="15" customHeight="1" x14ac:dyDescent="0.25">
      <c r="A69" s="516"/>
      <c r="B69" s="522" t="s">
        <v>307</v>
      </c>
      <c r="C69" s="750"/>
      <c r="E69" s="724">
        <v>0</v>
      </c>
      <c r="F69" s="547">
        <v>65578.239999999991</v>
      </c>
      <c r="G69" s="547">
        <f t="shared" si="4"/>
        <v>93451.309999999983</v>
      </c>
      <c r="H69" s="548">
        <v>5182.1899999999996</v>
      </c>
      <c r="I69" s="554">
        <v>2249.52</v>
      </c>
      <c r="J69" s="554">
        <v>1694.01</v>
      </c>
      <c r="K69" s="855">
        <v>41045.96</v>
      </c>
      <c r="L69" s="554">
        <v>14600.6</v>
      </c>
      <c r="M69" s="554">
        <v>3790</v>
      </c>
      <c r="N69" s="554">
        <v>6923</v>
      </c>
      <c r="O69" s="554">
        <v>1907.45</v>
      </c>
      <c r="P69" s="554">
        <v>2409.29</v>
      </c>
      <c r="Q69" s="554">
        <v>3240.4</v>
      </c>
      <c r="R69" s="554">
        <v>4800.5600000000004</v>
      </c>
      <c r="S69" s="546">
        <v>5608.33</v>
      </c>
    </row>
    <row r="70" spans="1:20" ht="15" customHeight="1" x14ac:dyDescent="0.25">
      <c r="A70" s="516"/>
      <c r="B70" s="534" t="s">
        <v>308</v>
      </c>
      <c r="D70" s="878"/>
      <c r="E70" s="724">
        <v>0</v>
      </c>
      <c r="F70" s="553">
        <v>3333</v>
      </c>
      <c r="G70" s="668">
        <f t="shared" si="4"/>
        <v>7838.65</v>
      </c>
      <c r="H70" s="548">
        <v>600</v>
      </c>
      <c r="I70" s="554">
        <v>0</v>
      </c>
      <c r="J70" s="554">
        <v>0</v>
      </c>
      <c r="K70" s="855">
        <v>0</v>
      </c>
      <c r="L70" s="554">
        <v>0</v>
      </c>
      <c r="M70" s="554">
        <v>0</v>
      </c>
      <c r="N70" s="554">
        <v>0</v>
      </c>
      <c r="O70" s="923">
        <v>0</v>
      </c>
      <c r="P70" s="554">
        <v>572.65</v>
      </c>
      <c r="Q70" s="554">
        <v>6666</v>
      </c>
      <c r="R70" s="554">
        <v>0</v>
      </c>
      <c r="S70" s="546">
        <v>0</v>
      </c>
    </row>
    <row r="71" spans="1:20" ht="15" customHeight="1" x14ac:dyDescent="0.25">
      <c r="A71" s="516"/>
      <c r="B71" s="534" t="s">
        <v>393</v>
      </c>
      <c r="D71" s="878"/>
      <c r="E71" s="724"/>
      <c r="F71" s="557"/>
      <c r="G71" s="668">
        <f t="shared" si="4"/>
        <v>56500.57</v>
      </c>
      <c r="H71" s="548">
        <v>3972.19</v>
      </c>
      <c r="I71" s="924">
        <v>3696.88</v>
      </c>
      <c r="J71" s="924">
        <v>7991.6</v>
      </c>
      <c r="K71" s="925">
        <v>5621.33</v>
      </c>
      <c r="L71" s="924">
        <v>621.67999999999995</v>
      </c>
      <c r="M71" s="924">
        <v>4207.2</v>
      </c>
      <c r="N71" s="924">
        <v>6167.02</v>
      </c>
      <c r="O71" s="923">
        <v>2837.34</v>
      </c>
      <c r="P71" s="924">
        <v>3582.56</v>
      </c>
      <c r="Q71" s="924">
        <v>1597.57</v>
      </c>
      <c r="R71" s="924">
        <v>2361.5300000000002</v>
      </c>
      <c r="S71" s="546">
        <v>13843.67</v>
      </c>
    </row>
    <row r="72" spans="1:20" ht="15" customHeight="1" x14ac:dyDescent="0.25">
      <c r="A72" s="516"/>
      <c r="B72" s="534" t="s">
        <v>309</v>
      </c>
      <c r="D72" s="878"/>
      <c r="E72" s="724">
        <v>0</v>
      </c>
      <c r="F72" s="555">
        <v>3195775.620000001</v>
      </c>
      <c r="G72" s="668">
        <f t="shared" si="4"/>
        <v>3659111.4499999993</v>
      </c>
      <c r="H72" s="548">
        <f>SUM(H63:H70)-3972.19</f>
        <v>343851.18</v>
      </c>
      <c r="I72" s="673">
        <f>299770.03</f>
        <v>299770.03000000003</v>
      </c>
      <c r="J72" s="673">
        <v>257085.51</v>
      </c>
      <c r="K72" s="856">
        <v>332930.98</v>
      </c>
      <c r="L72" s="673">
        <f>SUM(L63:L69)-621.68</f>
        <v>270431.51</v>
      </c>
      <c r="M72" s="673">
        <v>267118.88</v>
      </c>
      <c r="N72" s="673">
        <v>314045.42</v>
      </c>
      <c r="O72" s="673">
        <v>291804.57</v>
      </c>
      <c r="P72" s="673">
        <f>SUM(P63:P70)-P71</f>
        <v>299770.56</v>
      </c>
      <c r="Q72" s="673">
        <v>317088.44</v>
      </c>
      <c r="R72" s="673">
        <v>352250.8</v>
      </c>
      <c r="S72" s="546">
        <v>312963.57</v>
      </c>
      <c r="T72" s="556"/>
    </row>
    <row r="73" spans="1:20" ht="15" customHeight="1" x14ac:dyDescent="0.25">
      <c r="A73" s="516"/>
      <c r="B73" s="535" t="s">
        <v>310</v>
      </c>
      <c r="D73" s="877"/>
      <c r="E73" s="724">
        <v>0</v>
      </c>
      <c r="F73" s="557">
        <v>112492.32</v>
      </c>
      <c r="G73" s="553">
        <f>SUM(H73:S73)</f>
        <v>114974.13999999998</v>
      </c>
      <c r="H73" s="674">
        <v>4667.05</v>
      </c>
      <c r="I73" s="675">
        <v>7556.52</v>
      </c>
      <c r="J73" s="834">
        <v>4233.05</v>
      </c>
      <c r="K73" s="857">
        <v>46641.96</v>
      </c>
      <c r="L73" s="675">
        <v>18233.599999999999</v>
      </c>
      <c r="M73" s="675">
        <v>4078</v>
      </c>
      <c r="N73" s="675">
        <v>5703</v>
      </c>
      <c r="O73" s="554">
        <v>3968</v>
      </c>
      <c r="P73" s="675">
        <v>8089</v>
      </c>
      <c r="Q73" s="675">
        <v>5231.3999999999996</v>
      </c>
      <c r="R73" s="675">
        <v>6572.56</v>
      </c>
      <c r="S73" s="676">
        <v>0</v>
      </c>
    </row>
    <row r="74" spans="1:20" s="655" customFormat="1" ht="15.95" customHeight="1" x14ac:dyDescent="0.25">
      <c r="A74" s="654"/>
      <c r="B74" s="1063" t="s">
        <v>43</v>
      </c>
      <c r="C74" s="1064"/>
      <c r="D74" s="1064"/>
      <c r="E74" s="1064"/>
      <c r="F74" s="1064"/>
      <c r="G74" s="1064"/>
      <c r="H74" s="1064"/>
      <c r="I74" s="1064"/>
      <c r="J74" s="1064"/>
      <c r="K74" s="1064"/>
      <c r="L74" s="1064"/>
      <c r="M74" s="1064"/>
      <c r="N74" s="1064"/>
      <c r="O74" s="1064"/>
      <c r="P74" s="1064"/>
      <c r="Q74" s="1064"/>
      <c r="R74" s="1064"/>
      <c r="S74" s="1065"/>
    </row>
    <row r="75" spans="1:20" s="655" customFormat="1" ht="15.95" customHeight="1" x14ac:dyDescent="0.25">
      <c r="A75" s="654"/>
      <c r="B75" s="1066" t="s">
        <v>44</v>
      </c>
      <c r="C75" s="1067"/>
      <c r="D75" s="1067"/>
      <c r="E75" s="1067"/>
      <c r="F75" s="1067"/>
      <c r="G75" s="1067"/>
      <c r="H75" s="1067"/>
      <c r="I75" s="1067"/>
      <c r="J75" s="1067"/>
      <c r="K75" s="1067"/>
      <c r="L75" s="1067"/>
      <c r="M75" s="1067"/>
      <c r="N75" s="1067"/>
      <c r="O75" s="1067"/>
      <c r="P75" s="1067"/>
      <c r="Q75" s="1067"/>
      <c r="R75" s="1067"/>
      <c r="S75" s="1068"/>
    </row>
    <row r="76" spans="1:20" ht="15" customHeight="1" x14ac:dyDescent="0.25">
      <c r="A76" s="516"/>
      <c r="B76" s="536" t="s">
        <v>311</v>
      </c>
      <c r="C76" s="909"/>
      <c r="D76" s="871"/>
      <c r="E76" s="686">
        <v>475</v>
      </c>
      <c r="F76" s="666">
        <v>259</v>
      </c>
      <c r="G76" s="887">
        <f>SUM(H76:S76)</f>
        <v>322</v>
      </c>
      <c r="H76" s="832">
        <v>29</v>
      </c>
      <c r="I76" s="833">
        <v>28</v>
      </c>
      <c r="J76" s="629">
        <v>20</v>
      </c>
      <c r="K76" s="561">
        <v>30</v>
      </c>
      <c r="L76" s="512">
        <v>16</v>
      </c>
      <c r="M76" s="512">
        <v>21</v>
      </c>
      <c r="N76" s="512">
        <v>31</v>
      </c>
      <c r="O76" s="512">
        <v>28</v>
      </c>
      <c r="P76" s="512">
        <v>30</v>
      </c>
      <c r="Q76" s="512">
        <v>27</v>
      </c>
      <c r="R76" s="512">
        <v>31</v>
      </c>
      <c r="S76" s="513">
        <v>31</v>
      </c>
    </row>
    <row r="77" spans="1:20" ht="15" customHeight="1" x14ac:dyDescent="0.25">
      <c r="A77" s="516"/>
      <c r="B77" s="534" t="s">
        <v>312</v>
      </c>
      <c r="C77" s="911"/>
      <c r="D77" s="873" t="s">
        <v>384</v>
      </c>
      <c r="E77" s="519">
        <v>2</v>
      </c>
      <c r="F77" s="684">
        <v>1</v>
      </c>
      <c r="G77" s="888">
        <f>AVERAGEIF(H77:S77,"&lt;&gt;0")</f>
        <v>1.7272727272727273</v>
      </c>
      <c r="H77" s="519">
        <v>2</v>
      </c>
      <c r="I77" s="512">
        <v>3</v>
      </c>
      <c r="J77" s="520">
        <v>3</v>
      </c>
      <c r="K77" s="807">
        <v>2</v>
      </c>
      <c r="L77" s="520">
        <v>2</v>
      </c>
      <c r="M77" s="520">
        <v>2</v>
      </c>
      <c r="N77" s="520">
        <v>1</v>
      </c>
      <c r="O77" s="520">
        <v>1</v>
      </c>
      <c r="P77" s="520">
        <v>1</v>
      </c>
      <c r="Q77" s="520">
        <v>1</v>
      </c>
      <c r="R77" s="520">
        <v>0</v>
      </c>
      <c r="S77" s="521">
        <v>1</v>
      </c>
    </row>
    <row r="78" spans="1:20" ht="15" customHeight="1" x14ac:dyDescent="0.25">
      <c r="A78" s="516"/>
      <c r="B78" s="534" t="s">
        <v>269</v>
      </c>
      <c r="C78" s="911"/>
      <c r="D78" s="873" t="s">
        <v>384</v>
      </c>
      <c r="E78" s="524">
        <v>32</v>
      </c>
      <c r="F78" s="685">
        <v>68</v>
      </c>
      <c r="G78" s="889">
        <f>AVERAGEIF(H78:S78,"&lt;&gt;0")</f>
        <v>90.583333333333329</v>
      </c>
      <c r="H78" s="533">
        <v>86</v>
      </c>
      <c r="I78" s="533">
        <v>90</v>
      </c>
      <c r="J78" s="533">
        <v>76</v>
      </c>
      <c r="K78" s="858">
        <v>92</v>
      </c>
      <c r="L78" s="533">
        <v>71</v>
      </c>
      <c r="M78" s="533">
        <v>82</v>
      </c>
      <c r="N78" s="533">
        <v>84</v>
      </c>
      <c r="O78" s="533">
        <v>91</v>
      </c>
      <c r="P78" s="533">
        <v>96</v>
      </c>
      <c r="Q78" s="533">
        <v>93</v>
      </c>
      <c r="R78" s="858">
        <v>120</v>
      </c>
      <c r="S78" s="539">
        <v>106</v>
      </c>
    </row>
    <row r="79" spans="1:20" ht="15" customHeight="1" x14ac:dyDescent="0.25">
      <c r="A79" s="516"/>
      <c r="B79" s="762" t="s">
        <v>313</v>
      </c>
      <c r="C79" s="907"/>
      <c r="E79" s="726">
        <v>0</v>
      </c>
      <c r="F79" s="727">
        <v>23</v>
      </c>
      <c r="G79" s="728">
        <f>SUM(H79:S79)</f>
        <v>20</v>
      </c>
      <c r="H79" s="533">
        <v>3</v>
      </c>
      <c r="I79" s="533">
        <v>2</v>
      </c>
      <c r="J79" s="533">
        <v>3</v>
      </c>
      <c r="K79" s="858">
        <v>3</v>
      </c>
      <c r="L79" s="533">
        <v>1</v>
      </c>
      <c r="M79" s="533">
        <v>1</v>
      </c>
      <c r="N79" s="533">
        <v>2</v>
      </c>
      <c r="O79" s="533">
        <v>0</v>
      </c>
      <c r="P79" s="533">
        <v>3</v>
      </c>
      <c r="Q79" s="533">
        <v>1</v>
      </c>
      <c r="R79" s="533">
        <v>1</v>
      </c>
      <c r="S79" s="532">
        <v>0</v>
      </c>
    </row>
    <row r="80" spans="1:20" ht="15" customHeight="1" x14ac:dyDescent="0.25">
      <c r="A80" s="516"/>
      <c r="B80" s="761" t="s">
        <v>314</v>
      </c>
      <c r="C80" s="907"/>
      <c r="E80" s="729">
        <v>0</v>
      </c>
      <c r="F80" s="725">
        <v>30</v>
      </c>
      <c r="G80" s="730">
        <f>SUM(H80:S80)</f>
        <v>27</v>
      </c>
      <c r="H80" s="533">
        <v>1</v>
      </c>
      <c r="I80" s="533">
        <v>1</v>
      </c>
      <c r="J80" s="533">
        <v>3</v>
      </c>
      <c r="K80" s="858">
        <v>3</v>
      </c>
      <c r="L80" s="533">
        <v>5</v>
      </c>
      <c r="M80" s="533">
        <v>2</v>
      </c>
      <c r="N80" s="533">
        <v>2</v>
      </c>
      <c r="O80" s="533">
        <v>0</v>
      </c>
      <c r="P80" s="533">
        <v>3</v>
      </c>
      <c r="Q80" s="533">
        <v>2</v>
      </c>
      <c r="R80" s="533">
        <v>3</v>
      </c>
      <c r="S80" s="560">
        <v>2</v>
      </c>
    </row>
    <row r="81" spans="1:19" s="655" customFormat="1" ht="15.95" customHeight="1" x14ac:dyDescent="0.25">
      <c r="A81" s="654"/>
      <c r="B81" s="1051" t="s">
        <v>50</v>
      </c>
      <c r="C81" s="1052"/>
      <c r="D81" s="1052"/>
      <c r="E81" s="1052"/>
      <c r="F81" s="1052"/>
      <c r="G81" s="1052"/>
      <c r="H81" s="1052"/>
      <c r="I81" s="1052"/>
      <c r="J81" s="1052"/>
      <c r="K81" s="1052"/>
      <c r="L81" s="1052"/>
      <c r="M81" s="1052"/>
      <c r="N81" s="1052"/>
      <c r="O81" s="1052"/>
      <c r="P81" s="1052"/>
      <c r="Q81" s="1052"/>
      <c r="R81" s="1052"/>
      <c r="S81" s="1053"/>
    </row>
    <row r="82" spans="1:19" ht="15" customHeight="1" x14ac:dyDescent="0.25">
      <c r="A82" s="516"/>
      <c r="B82" s="536" t="s">
        <v>369</v>
      </c>
      <c r="C82" s="909"/>
      <c r="D82" s="871" t="s">
        <v>384</v>
      </c>
      <c r="E82" s="686">
        <v>79</v>
      </c>
      <c r="F82" s="697">
        <v>91</v>
      </c>
      <c r="G82" s="890">
        <f>AVERAGEIF(H82:S82,"&lt;&gt;0")</f>
        <v>103.75</v>
      </c>
      <c r="H82" s="832">
        <v>91</v>
      </c>
      <c r="I82" s="844">
        <v>104</v>
      </c>
      <c r="J82" s="846">
        <v>102</v>
      </c>
      <c r="K82" s="561">
        <v>101</v>
      </c>
      <c r="L82" s="561">
        <v>101</v>
      </c>
      <c r="M82" s="561">
        <v>105</v>
      </c>
      <c r="N82" s="561">
        <v>103</v>
      </c>
      <c r="O82" s="561">
        <v>104</v>
      </c>
      <c r="P82" s="561">
        <v>108</v>
      </c>
      <c r="Q82" s="561">
        <v>109</v>
      </c>
      <c r="R82" s="561">
        <v>110</v>
      </c>
      <c r="S82" s="527">
        <v>107</v>
      </c>
    </row>
    <row r="83" spans="1:19" ht="15" customHeight="1" x14ac:dyDescent="0.25">
      <c r="A83" s="516"/>
      <c r="B83" s="762" t="s">
        <v>270</v>
      </c>
      <c r="C83" s="907"/>
      <c r="E83" s="726">
        <v>0</v>
      </c>
      <c r="F83" s="727">
        <v>17</v>
      </c>
      <c r="G83" s="728">
        <f>SUM(H83:S83)</f>
        <v>35</v>
      </c>
      <c r="H83" s="511">
        <v>1</v>
      </c>
      <c r="I83" s="531">
        <v>13</v>
      </c>
      <c r="J83" s="505">
        <v>1</v>
      </c>
      <c r="K83" s="505">
        <v>3</v>
      </c>
      <c r="L83" s="505">
        <v>1</v>
      </c>
      <c r="M83" s="505">
        <v>5</v>
      </c>
      <c r="N83" s="505">
        <v>0</v>
      </c>
      <c r="O83" s="505">
        <v>4</v>
      </c>
      <c r="P83" s="505">
        <v>4</v>
      </c>
      <c r="Q83" s="505">
        <v>1</v>
      </c>
      <c r="R83" s="505">
        <v>1</v>
      </c>
      <c r="S83" s="527">
        <v>1</v>
      </c>
    </row>
    <row r="84" spans="1:19" ht="15" customHeight="1" x14ac:dyDescent="0.25">
      <c r="A84" s="516"/>
      <c r="B84" s="761" t="s">
        <v>271</v>
      </c>
      <c r="C84" s="907"/>
      <c r="D84" s="877"/>
      <c r="E84" s="724">
        <v>0</v>
      </c>
      <c r="F84" s="725">
        <v>12</v>
      </c>
      <c r="G84" s="730">
        <f>SUM(H84:S84)</f>
        <v>25</v>
      </c>
      <c r="H84" s="511">
        <v>2</v>
      </c>
      <c r="I84" s="533">
        <v>1</v>
      </c>
      <c r="J84" s="533">
        <v>3</v>
      </c>
      <c r="K84" s="533">
        <v>5</v>
      </c>
      <c r="L84" s="533">
        <v>1</v>
      </c>
      <c r="M84" s="533">
        <v>1</v>
      </c>
      <c r="N84" s="533">
        <v>2</v>
      </c>
      <c r="O84" s="533">
        <v>3</v>
      </c>
      <c r="P84" s="533">
        <v>3</v>
      </c>
      <c r="Q84" s="533">
        <v>0</v>
      </c>
      <c r="R84" s="533">
        <v>0</v>
      </c>
      <c r="S84" s="527">
        <v>4</v>
      </c>
    </row>
    <row r="85" spans="1:19" s="655" customFormat="1" ht="15.95" customHeight="1" x14ac:dyDescent="0.25">
      <c r="A85" s="654"/>
      <c r="B85" s="1051" t="s">
        <v>52</v>
      </c>
      <c r="C85" s="1052"/>
      <c r="D85" s="1052"/>
      <c r="E85" s="1052"/>
      <c r="F85" s="1052"/>
      <c r="G85" s="1052"/>
      <c r="H85" s="1052"/>
      <c r="I85" s="1052"/>
      <c r="J85" s="1052"/>
      <c r="K85" s="1052"/>
      <c r="L85" s="1052"/>
      <c r="M85" s="1052"/>
      <c r="N85" s="1052"/>
      <c r="O85" s="1052"/>
      <c r="P85" s="1052"/>
      <c r="Q85" s="1052"/>
      <c r="R85" s="1052"/>
      <c r="S85" s="1053"/>
    </row>
    <row r="86" spans="1:19" ht="15" customHeight="1" x14ac:dyDescent="0.25">
      <c r="A86" s="516"/>
      <c r="B86" s="536" t="s">
        <v>316</v>
      </c>
      <c r="D86" s="875" t="s">
        <v>384</v>
      </c>
      <c r="E86" s="687">
        <v>384</v>
      </c>
      <c r="F86" s="688">
        <v>144</v>
      </c>
      <c r="G86" s="890">
        <f>AVERAGEIF(H86:S86,"&lt;&gt;0")</f>
        <v>180.08333333333334</v>
      </c>
      <c r="H86" s="511">
        <v>149</v>
      </c>
      <c r="I86" s="845">
        <v>181</v>
      </c>
      <c r="J86" s="561">
        <v>183</v>
      </c>
      <c r="K86" s="561">
        <v>184</v>
      </c>
      <c r="L86" s="561">
        <v>181</v>
      </c>
      <c r="M86" s="561">
        <v>181</v>
      </c>
      <c r="N86" s="561">
        <v>183</v>
      </c>
      <c r="O86" s="561">
        <v>185</v>
      </c>
      <c r="P86" s="561">
        <v>186</v>
      </c>
      <c r="Q86" s="561">
        <v>184</v>
      </c>
      <c r="R86" s="561">
        <v>183</v>
      </c>
      <c r="S86" s="527">
        <v>181</v>
      </c>
    </row>
    <row r="87" spans="1:19" ht="15" hidden="1" customHeight="1" x14ac:dyDescent="0.25">
      <c r="A87" s="516"/>
      <c r="B87" s="762" t="s">
        <v>270</v>
      </c>
      <c r="C87" s="907"/>
      <c r="E87" s="726">
        <v>0</v>
      </c>
      <c r="F87" s="727">
        <v>0</v>
      </c>
      <c r="G87" s="728">
        <f t="shared" ref="G87:G92" si="5">SUM(H87:S87)</f>
        <v>187</v>
      </c>
      <c r="H87" s="511">
        <v>6</v>
      </c>
      <c r="I87" s="822">
        <v>181</v>
      </c>
      <c r="J87" s="561">
        <v>0</v>
      </c>
      <c r="K87" s="561">
        <v>0</v>
      </c>
      <c r="L87" s="561">
        <v>0</v>
      </c>
      <c r="M87" s="561">
        <v>0</v>
      </c>
      <c r="N87" s="561">
        <v>0</v>
      </c>
      <c r="O87" s="561">
        <v>0</v>
      </c>
      <c r="P87" s="561">
        <v>0</v>
      </c>
      <c r="Q87" s="561">
        <v>0</v>
      </c>
      <c r="R87" s="561">
        <v>0</v>
      </c>
      <c r="S87" s="527">
        <v>0</v>
      </c>
    </row>
    <row r="88" spans="1:19" ht="15" hidden="1" customHeight="1" x14ac:dyDescent="0.25">
      <c r="A88" s="516"/>
      <c r="B88" s="762" t="s">
        <v>271</v>
      </c>
      <c r="C88" s="907"/>
      <c r="E88" s="724">
        <v>0</v>
      </c>
      <c r="F88" s="725">
        <v>0</v>
      </c>
      <c r="G88" s="731">
        <f t="shared" si="5"/>
        <v>2</v>
      </c>
      <c r="H88" s="511">
        <v>2</v>
      </c>
      <c r="I88" s="561">
        <v>0</v>
      </c>
      <c r="J88" s="561">
        <v>0</v>
      </c>
      <c r="K88" s="561">
        <v>0</v>
      </c>
      <c r="L88" s="561">
        <v>0</v>
      </c>
      <c r="M88" s="561">
        <v>0</v>
      </c>
      <c r="N88" s="561">
        <v>0</v>
      </c>
      <c r="O88" s="561">
        <v>0</v>
      </c>
      <c r="P88" s="561">
        <v>0</v>
      </c>
      <c r="Q88" s="561">
        <v>0</v>
      </c>
      <c r="R88" s="561">
        <v>0</v>
      </c>
      <c r="S88" s="527">
        <v>0</v>
      </c>
    </row>
    <row r="89" spans="1:19" ht="15" customHeight="1" x14ac:dyDescent="0.25">
      <c r="A89" s="516"/>
      <c r="B89" s="534" t="s">
        <v>272</v>
      </c>
      <c r="E89" s="729">
        <v>0</v>
      </c>
      <c r="F89" s="732">
        <v>106142.25</v>
      </c>
      <c r="G89" s="730">
        <f t="shared" si="5"/>
        <v>54761.599999999999</v>
      </c>
      <c r="H89" s="895">
        <v>8290.0499999999993</v>
      </c>
      <c r="I89" s="896">
        <v>9734.5</v>
      </c>
      <c r="J89" s="896">
        <v>8868.5</v>
      </c>
      <c r="K89" s="896">
        <v>10423.299999999999</v>
      </c>
      <c r="L89" s="896">
        <v>9145.25</v>
      </c>
      <c r="M89" s="896">
        <v>8300</v>
      </c>
      <c r="N89" s="512" t="s">
        <v>144</v>
      </c>
      <c r="O89" s="512" t="s">
        <v>144</v>
      </c>
      <c r="P89" s="512" t="s">
        <v>144</v>
      </c>
      <c r="Q89" s="512" t="s">
        <v>144</v>
      </c>
      <c r="R89" s="512" t="s">
        <v>144</v>
      </c>
      <c r="S89" s="527">
        <v>0</v>
      </c>
    </row>
    <row r="90" spans="1:19" ht="15" customHeight="1" x14ac:dyDescent="0.25">
      <c r="A90" s="516"/>
      <c r="B90" s="534" t="s">
        <v>317</v>
      </c>
      <c r="D90" s="875" t="s">
        <v>384</v>
      </c>
      <c r="E90" s="687">
        <v>142</v>
      </c>
      <c r="F90" s="688">
        <v>144</v>
      </c>
      <c r="G90" s="890">
        <f>AVERAGEIF(H90:S90,"&lt;&gt;0")</f>
        <v>180.08333333333334</v>
      </c>
      <c r="H90" s="832">
        <v>149</v>
      </c>
      <c r="I90" s="847">
        <v>181</v>
      </c>
      <c r="J90" s="846">
        <v>183</v>
      </c>
      <c r="K90" s="561">
        <v>184</v>
      </c>
      <c r="L90" s="561">
        <v>181</v>
      </c>
      <c r="M90" s="561">
        <v>181</v>
      </c>
      <c r="N90" s="561">
        <v>183</v>
      </c>
      <c r="O90" s="561">
        <v>185</v>
      </c>
      <c r="P90" s="561">
        <v>186</v>
      </c>
      <c r="Q90" s="561">
        <v>184</v>
      </c>
      <c r="R90" s="561">
        <v>183</v>
      </c>
      <c r="S90" s="527">
        <v>181</v>
      </c>
    </row>
    <row r="91" spans="1:19" ht="15" customHeight="1" x14ac:dyDescent="0.25">
      <c r="A91" s="516"/>
      <c r="B91" s="762" t="s">
        <v>270</v>
      </c>
      <c r="C91" s="907"/>
      <c r="E91" s="726">
        <v>0</v>
      </c>
      <c r="F91" s="727">
        <v>19</v>
      </c>
      <c r="G91" s="728">
        <f t="shared" si="5"/>
        <v>46</v>
      </c>
      <c r="H91" s="511">
        <v>6</v>
      </c>
      <c r="I91" s="561">
        <v>32</v>
      </c>
      <c r="J91" s="561">
        <v>2</v>
      </c>
      <c r="K91" s="561">
        <v>1</v>
      </c>
      <c r="L91" s="561">
        <v>0</v>
      </c>
      <c r="M91" s="561">
        <v>0</v>
      </c>
      <c r="N91" s="561">
        <v>2</v>
      </c>
      <c r="O91" s="561">
        <v>2</v>
      </c>
      <c r="P91" s="561">
        <v>1</v>
      </c>
      <c r="Q91" s="561">
        <v>0</v>
      </c>
      <c r="R91" s="561">
        <v>0</v>
      </c>
      <c r="S91" s="527">
        <v>0</v>
      </c>
    </row>
    <row r="92" spans="1:19" ht="15" customHeight="1" x14ac:dyDescent="0.25">
      <c r="A92" s="516"/>
      <c r="B92" s="761" t="s">
        <v>271</v>
      </c>
      <c r="C92" s="907"/>
      <c r="E92" s="729">
        <v>0</v>
      </c>
      <c r="F92" s="732">
        <v>11</v>
      </c>
      <c r="G92" s="730">
        <f t="shared" si="5"/>
        <v>14</v>
      </c>
      <c r="H92" s="511">
        <v>2</v>
      </c>
      <c r="I92" s="561">
        <v>2</v>
      </c>
      <c r="J92" s="561">
        <v>0</v>
      </c>
      <c r="K92" s="561">
        <v>0</v>
      </c>
      <c r="L92" s="561">
        <v>3</v>
      </c>
      <c r="M92" s="561">
        <v>0</v>
      </c>
      <c r="N92" s="561">
        <v>0</v>
      </c>
      <c r="O92" s="561">
        <v>2</v>
      </c>
      <c r="P92" s="561">
        <v>0</v>
      </c>
      <c r="Q92" s="561">
        <v>2</v>
      </c>
      <c r="R92" s="561">
        <v>1</v>
      </c>
      <c r="S92" s="527">
        <v>2</v>
      </c>
    </row>
    <row r="93" spans="1:19" ht="15" customHeight="1" x14ac:dyDescent="0.25">
      <c r="A93" s="516"/>
      <c r="B93" s="534" t="s">
        <v>315</v>
      </c>
      <c r="D93" s="875" t="s">
        <v>384</v>
      </c>
      <c r="E93" s="687">
        <v>135</v>
      </c>
      <c r="F93" s="688">
        <v>136</v>
      </c>
      <c r="G93" s="890">
        <f>AVERAGEIF(H93:S93,"&lt;&gt;0")</f>
        <v>134.91666666666666</v>
      </c>
      <c r="H93" s="832">
        <v>139</v>
      </c>
      <c r="I93" s="848">
        <v>138</v>
      </c>
      <c r="J93" s="846">
        <v>137</v>
      </c>
      <c r="K93" s="561">
        <v>134</v>
      </c>
      <c r="L93" s="561">
        <v>133</v>
      </c>
      <c r="M93" s="561">
        <v>139</v>
      </c>
      <c r="N93" s="561">
        <v>136</v>
      </c>
      <c r="O93" s="561">
        <v>134</v>
      </c>
      <c r="P93" s="561">
        <v>139</v>
      </c>
      <c r="Q93" s="561">
        <v>130</v>
      </c>
      <c r="R93" s="561">
        <v>130</v>
      </c>
      <c r="S93" s="527">
        <v>130</v>
      </c>
    </row>
    <row r="94" spans="1:19" s="750" customFormat="1" ht="15" hidden="1" customHeight="1" x14ac:dyDescent="0.25">
      <c r="A94" s="746"/>
      <c r="B94" s="522" t="s">
        <v>32</v>
      </c>
      <c r="D94" s="875"/>
      <c r="E94" s="792"/>
      <c r="F94" s="793"/>
      <c r="G94" s="794"/>
      <c r="H94" s="795">
        <v>1</v>
      </c>
      <c r="I94" s="796">
        <v>0</v>
      </c>
      <c r="J94" s="797"/>
      <c r="K94" s="796"/>
      <c r="L94" s="796"/>
      <c r="M94" s="796"/>
      <c r="N94" s="796"/>
      <c r="O94" s="796"/>
      <c r="P94" s="796"/>
      <c r="Q94" s="796"/>
      <c r="R94" s="796"/>
      <c r="S94" s="798"/>
    </row>
    <row r="95" spans="1:19" s="750" customFormat="1" ht="15" hidden="1" customHeight="1" x14ac:dyDescent="0.25">
      <c r="A95" s="746"/>
      <c r="B95" s="514" t="s">
        <v>33</v>
      </c>
      <c r="D95" s="875"/>
      <c r="E95" s="792"/>
      <c r="F95" s="793"/>
      <c r="G95" s="794"/>
      <c r="H95" s="799">
        <v>-2</v>
      </c>
      <c r="I95" s="800">
        <v>-1</v>
      </c>
      <c r="J95" s="801"/>
      <c r="K95" s="800"/>
      <c r="L95" s="800"/>
      <c r="M95" s="800"/>
      <c r="N95" s="800"/>
      <c r="O95" s="800"/>
      <c r="P95" s="800"/>
      <c r="Q95" s="800"/>
      <c r="R95" s="800"/>
      <c r="S95" s="802"/>
    </row>
    <row r="96" spans="1:19" s="655" customFormat="1" ht="15.95" customHeight="1" x14ac:dyDescent="0.25">
      <c r="A96" s="654"/>
      <c r="B96" s="1079" t="s">
        <v>383</v>
      </c>
      <c r="C96" s="1080"/>
      <c r="D96" s="1080"/>
      <c r="E96" s="1080"/>
      <c r="F96" s="1080"/>
      <c r="G96" s="1080"/>
      <c r="H96" s="1080"/>
      <c r="I96" s="1082"/>
      <c r="J96" s="1080"/>
      <c r="K96" s="1080"/>
      <c r="L96" s="1080"/>
      <c r="M96" s="1080"/>
      <c r="N96" s="1080"/>
      <c r="O96" s="1080"/>
      <c r="P96" s="1080"/>
      <c r="Q96" s="1080"/>
      <c r="R96" s="1080"/>
      <c r="S96" s="1081"/>
    </row>
    <row r="97" spans="1:19" ht="15" customHeight="1" x14ac:dyDescent="0.25">
      <c r="A97" s="516"/>
      <c r="B97" s="563" t="s">
        <v>318</v>
      </c>
      <c r="C97" s="912"/>
      <c r="D97" s="879"/>
      <c r="E97" s="686">
        <v>0</v>
      </c>
      <c r="F97" s="697">
        <v>4356</v>
      </c>
      <c r="G97" s="529">
        <f>SUM(H97:S97)</f>
        <v>2219</v>
      </c>
      <c r="H97" s="507">
        <v>194</v>
      </c>
      <c r="I97" s="844">
        <v>196</v>
      </c>
      <c r="J97" s="629">
        <v>196</v>
      </c>
      <c r="K97" s="561">
        <v>186</v>
      </c>
      <c r="L97" s="561">
        <v>180</v>
      </c>
      <c r="M97" s="561">
        <v>177</v>
      </c>
      <c r="N97" s="512">
        <v>174</v>
      </c>
      <c r="O97" s="561">
        <v>185</v>
      </c>
      <c r="P97" s="512">
        <v>185</v>
      </c>
      <c r="Q97" s="512">
        <v>183</v>
      </c>
      <c r="R97" s="561">
        <v>180</v>
      </c>
      <c r="S97" s="532">
        <v>183</v>
      </c>
    </row>
    <row r="98" spans="1:19" ht="15" customHeight="1" x14ac:dyDescent="0.25">
      <c r="A98" s="516"/>
      <c r="B98" s="522" t="s">
        <v>319</v>
      </c>
      <c r="C98" s="903"/>
      <c r="D98" s="872"/>
      <c r="E98" s="562">
        <v>0</v>
      </c>
      <c r="F98" s="672">
        <v>2169</v>
      </c>
      <c r="G98" s="530">
        <f>SUM(H98:S98)</f>
        <v>2418</v>
      </c>
      <c r="H98" s="841">
        <v>199</v>
      </c>
      <c r="I98" s="843">
        <v>193</v>
      </c>
      <c r="J98" s="630">
        <v>198</v>
      </c>
      <c r="K98" s="807">
        <v>198</v>
      </c>
      <c r="L98" s="807">
        <v>200</v>
      </c>
      <c r="M98" s="807">
        <v>206</v>
      </c>
      <c r="N98" s="520">
        <v>205</v>
      </c>
      <c r="O98" s="807">
        <v>194</v>
      </c>
      <c r="P98" s="520">
        <v>206</v>
      </c>
      <c r="Q98" s="520">
        <v>209</v>
      </c>
      <c r="R98" s="807">
        <v>210</v>
      </c>
      <c r="S98" s="532">
        <v>200</v>
      </c>
    </row>
    <row r="99" spans="1:19" ht="15" customHeight="1" x14ac:dyDescent="0.25">
      <c r="A99" s="516"/>
      <c r="B99" s="522" t="s">
        <v>320</v>
      </c>
      <c r="C99" s="750"/>
      <c r="E99" s="726">
        <v>0</v>
      </c>
      <c r="F99" s="727">
        <v>2487</v>
      </c>
      <c r="G99" s="733">
        <f>SUM(H99:S99)</f>
        <v>4216</v>
      </c>
      <c r="H99" s="841">
        <v>330</v>
      </c>
      <c r="I99" s="842">
        <v>305</v>
      </c>
      <c r="J99" s="630">
        <v>318</v>
      </c>
      <c r="K99" s="520">
        <v>336</v>
      </c>
      <c r="L99" s="807">
        <v>323</v>
      </c>
      <c r="M99" s="520">
        <v>324</v>
      </c>
      <c r="N99" s="520">
        <v>309</v>
      </c>
      <c r="O99" s="807">
        <v>400</v>
      </c>
      <c r="P99" s="520">
        <v>394</v>
      </c>
      <c r="Q99" s="520">
        <v>374</v>
      </c>
      <c r="R99" s="807">
        <v>399</v>
      </c>
      <c r="S99" s="532">
        <v>404</v>
      </c>
    </row>
    <row r="100" spans="1:19" ht="15" hidden="1" customHeight="1" x14ac:dyDescent="0.25">
      <c r="A100" s="516"/>
      <c r="B100" s="803" t="s">
        <v>32</v>
      </c>
      <c r="C100" s="913"/>
      <c r="E100" s="804"/>
      <c r="F100" s="805"/>
      <c r="G100" s="806"/>
      <c r="H100" s="519">
        <v>13</v>
      </c>
      <c r="I100" s="512"/>
      <c r="J100" s="520"/>
      <c r="K100" s="520"/>
      <c r="L100" s="520"/>
      <c r="M100" s="520"/>
      <c r="N100" s="520"/>
      <c r="O100" s="520"/>
      <c r="P100" s="520"/>
      <c r="Q100" s="520"/>
      <c r="R100" s="807"/>
      <c r="S100" s="532"/>
    </row>
    <row r="101" spans="1:19" ht="15" hidden="1" customHeight="1" x14ac:dyDescent="0.25">
      <c r="A101" s="516"/>
      <c r="B101" s="808" t="s">
        <v>33</v>
      </c>
      <c r="C101" s="913"/>
      <c r="E101" s="809"/>
      <c r="F101" s="810"/>
      <c r="G101" s="811"/>
      <c r="H101" s="524">
        <v>-208</v>
      </c>
      <c r="I101" s="525"/>
      <c r="J101" s="525"/>
      <c r="K101" s="525"/>
      <c r="L101" s="525"/>
      <c r="M101" s="525"/>
      <c r="N101" s="525"/>
      <c r="O101" s="525"/>
      <c r="P101" s="525"/>
      <c r="Q101" s="525"/>
      <c r="R101" s="812"/>
      <c r="S101" s="560"/>
    </row>
    <row r="102" spans="1:19" ht="15" hidden="1" customHeight="1" x14ac:dyDescent="0.25">
      <c r="A102" s="516"/>
      <c r="B102" s="1073" t="s">
        <v>163</v>
      </c>
      <c r="C102" s="1074"/>
      <c r="D102" s="1074"/>
      <c r="E102" s="1074"/>
      <c r="F102" s="1074"/>
      <c r="G102" s="1074"/>
      <c r="H102" s="1074"/>
      <c r="I102" s="1074"/>
      <c r="J102" s="1074"/>
      <c r="K102" s="1074"/>
      <c r="L102" s="1074"/>
      <c r="M102" s="1074"/>
      <c r="N102" s="1074"/>
      <c r="O102" s="1074"/>
      <c r="P102" s="1074"/>
      <c r="Q102" s="1074"/>
      <c r="R102" s="1074"/>
      <c r="S102" s="1075"/>
    </row>
    <row r="103" spans="1:19" ht="15" hidden="1" customHeight="1" x14ac:dyDescent="0.25">
      <c r="A103" s="516"/>
      <c r="B103" s="813" t="s">
        <v>164</v>
      </c>
      <c r="C103" s="750"/>
      <c r="E103" s="804"/>
      <c r="F103" s="805"/>
      <c r="G103" s="814">
        <v>17</v>
      </c>
      <c r="H103" s="629">
        <v>17</v>
      </c>
      <c r="I103" s="512"/>
      <c r="J103" s="512"/>
      <c r="K103" s="512"/>
      <c r="L103" s="512"/>
      <c r="M103" s="512"/>
      <c r="N103" s="512"/>
      <c r="O103" s="512"/>
      <c r="P103" s="512"/>
      <c r="Q103" s="512"/>
      <c r="R103" s="561"/>
      <c r="S103" s="532"/>
    </row>
    <row r="104" spans="1:19" ht="15" hidden="1" customHeight="1" x14ac:dyDescent="0.25">
      <c r="A104" s="516"/>
      <c r="B104" s="815" t="s">
        <v>165</v>
      </c>
      <c r="C104" s="914"/>
      <c r="D104" s="880"/>
      <c r="E104" s="809"/>
      <c r="F104" s="810"/>
      <c r="G104" s="816">
        <v>23</v>
      </c>
      <c r="H104" s="817">
        <v>23</v>
      </c>
      <c r="I104" s="818"/>
      <c r="J104" s="818"/>
      <c r="K104" s="818"/>
      <c r="L104" s="818"/>
      <c r="M104" s="818"/>
      <c r="N104" s="818"/>
      <c r="O104" s="818"/>
      <c r="P104" s="818"/>
      <c r="Q104" s="818"/>
      <c r="R104" s="819"/>
      <c r="S104" s="820"/>
    </row>
    <row r="105" spans="1:19" s="655" customFormat="1" ht="15.95" customHeight="1" x14ac:dyDescent="0.25">
      <c r="A105" s="654"/>
      <c r="B105" s="1051" t="s">
        <v>59</v>
      </c>
      <c r="C105" s="1052"/>
      <c r="D105" s="1052"/>
      <c r="E105" s="1052"/>
      <c r="F105" s="1052"/>
      <c r="G105" s="1052"/>
      <c r="H105" s="1052"/>
      <c r="I105" s="1052"/>
      <c r="J105" s="1052"/>
      <c r="K105" s="1052"/>
      <c r="L105" s="1052"/>
      <c r="M105" s="1052"/>
      <c r="N105" s="1052"/>
      <c r="O105" s="1052"/>
      <c r="P105" s="1052"/>
      <c r="Q105" s="1052"/>
      <c r="R105" s="1052"/>
      <c r="S105" s="1053"/>
    </row>
    <row r="106" spans="1:19" s="750" customFormat="1" ht="15" customHeight="1" x14ac:dyDescent="0.25">
      <c r="A106" s="746"/>
      <c r="B106" s="509" t="s">
        <v>321</v>
      </c>
      <c r="C106" s="902"/>
      <c r="D106" s="871"/>
      <c r="E106" s="706">
        <v>11455</v>
      </c>
      <c r="F106" s="707">
        <v>9245</v>
      </c>
      <c r="G106" s="510">
        <f t="shared" ref="G106:G114" si="6">SUM(H106:S106)</f>
        <v>8862</v>
      </c>
      <c r="H106" s="747">
        <v>807</v>
      </c>
      <c r="I106" s="748">
        <v>910</v>
      </c>
      <c r="J106" s="748">
        <v>823</v>
      </c>
      <c r="K106" s="748">
        <v>797</v>
      </c>
      <c r="L106" s="748">
        <v>666</v>
      </c>
      <c r="M106" s="748">
        <v>710</v>
      </c>
      <c r="N106" s="748">
        <v>947</v>
      </c>
      <c r="O106" s="748">
        <v>697</v>
      </c>
      <c r="P106" s="748">
        <v>690</v>
      </c>
      <c r="Q106" s="748">
        <v>662</v>
      </c>
      <c r="R106" s="748">
        <v>596</v>
      </c>
      <c r="S106" s="749">
        <v>557</v>
      </c>
    </row>
    <row r="107" spans="1:19" s="750" customFormat="1" ht="15" customHeight="1" x14ac:dyDescent="0.25">
      <c r="A107" s="746"/>
      <c r="B107" s="762" t="s">
        <v>322</v>
      </c>
      <c r="C107" s="910"/>
      <c r="D107" s="873"/>
      <c r="E107" s="540">
        <v>7242</v>
      </c>
      <c r="F107" s="660">
        <v>5595</v>
      </c>
      <c r="G107" s="523">
        <f t="shared" si="6"/>
        <v>5848</v>
      </c>
      <c r="H107" s="747">
        <v>490</v>
      </c>
      <c r="I107" s="748">
        <v>581</v>
      </c>
      <c r="J107" s="748">
        <v>547</v>
      </c>
      <c r="K107" s="748">
        <v>475</v>
      </c>
      <c r="L107" s="748">
        <v>431</v>
      </c>
      <c r="M107" s="748">
        <v>458</v>
      </c>
      <c r="N107" s="748">
        <v>657</v>
      </c>
      <c r="O107" s="748">
        <v>520</v>
      </c>
      <c r="P107" s="748">
        <v>522</v>
      </c>
      <c r="Q107" s="748">
        <v>455</v>
      </c>
      <c r="R107" s="748">
        <v>379</v>
      </c>
      <c r="S107" s="749">
        <v>333</v>
      </c>
    </row>
    <row r="108" spans="1:19" s="750" customFormat="1" ht="15" customHeight="1" x14ac:dyDescent="0.25">
      <c r="A108" s="746"/>
      <c r="B108" s="762" t="s">
        <v>323</v>
      </c>
      <c r="C108" s="910"/>
      <c r="D108" s="873"/>
      <c r="E108" s="540">
        <v>466</v>
      </c>
      <c r="F108" s="660">
        <v>421</v>
      </c>
      <c r="G108" s="523">
        <f t="shared" si="6"/>
        <v>347</v>
      </c>
      <c r="H108" s="747">
        <v>34</v>
      </c>
      <c r="I108" s="748">
        <v>34</v>
      </c>
      <c r="J108" s="748">
        <v>28</v>
      </c>
      <c r="K108" s="748">
        <v>47</v>
      </c>
      <c r="L108" s="748">
        <v>25</v>
      </c>
      <c r="M108" s="748">
        <v>25</v>
      </c>
      <c r="N108" s="748">
        <v>27</v>
      </c>
      <c r="O108" s="748">
        <v>19</v>
      </c>
      <c r="P108" s="748">
        <v>31</v>
      </c>
      <c r="Q108" s="748">
        <v>31</v>
      </c>
      <c r="R108" s="748">
        <v>21</v>
      </c>
      <c r="S108" s="749">
        <v>25</v>
      </c>
    </row>
    <row r="109" spans="1:19" s="750" customFormat="1" ht="15" customHeight="1" x14ac:dyDescent="0.25">
      <c r="A109" s="746"/>
      <c r="B109" s="762" t="s">
        <v>324</v>
      </c>
      <c r="C109" s="910"/>
      <c r="D109" s="873"/>
      <c r="E109" s="540">
        <v>95</v>
      </c>
      <c r="F109" s="660">
        <v>94</v>
      </c>
      <c r="G109" s="523">
        <f t="shared" si="6"/>
        <v>10</v>
      </c>
      <c r="H109" s="747">
        <v>1</v>
      </c>
      <c r="I109" s="748">
        <v>0</v>
      </c>
      <c r="J109" s="748">
        <v>0</v>
      </c>
      <c r="K109" s="748">
        <v>0</v>
      </c>
      <c r="L109" s="748">
        <v>1</v>
      </c>
      <c r="M109" s="748">
        <v>1</v>
      </c>
      <c r="N109" s="748">
        <v>0</v>
      </c>
      <c r="O109" s="748">
        <v>1</v>
      </c>
      <c r="P109" s="748">
        <v>2</v>
      </c>
      <c r="Q109" s="748">
        <v>2</v>
      </c>
      <c r="R109" s="748">
        <v>1</v>
      </c>
      <c r="S109" s="749">
        <v>1</v>
      </c>
    </row>
    <row r="110" spans="1:19" s="750" customFormat="1" ht="15" customHeight="1" x14ac:dyDescent="0.25">
      <c r="A110" s="746"/>
      <c r="B110" s="762" t="s">
        <v>325</v>
      </c>
      <c r="C110" s="910"/>
      <c r="D110" s="873"/>
      <c r="E110" s="540">
        <v>2174</v>
      </c>
      <c r="F110" s="660">
        <v>1855</v>
      </c>
      <c r="G110" s="523">
        <f t="shared" si="6"/>
        <v>1532</v>
      </c>
      <c r="H110" s="747">
        <v>158</v>
      </c>
      <c r="I110" s="748">
        <v>178</v>
      </c>
      <c r="J110" s="748">
        <v>148</v>
      </c>
      <c r="K110" s="748">
        <v>156</v>
      </c>
      <c r="L110" s="748">
        <v>129</v>
      </c>
      <c r="M110" s="748">
        <v>137</v>
      </c>
      <c r="N110" s="748">
        <v>150</v>
      </c>
      <c r="O110" s="748">
        <v>90</v>
      </c>
      <c r="P110" s="748">
        <v>72</v>
      </c>
      <c r="Q110" s="748">
        <v>97</v>
      </c>
      <c r="R110" s="748">
        <v>98</v>
      </c>
      <c r="S110" s="749">
        <v>119</v>
      </c>
    </row>
    <row r="111" spans="1:19" s="750" customFormat="1" ht="15" customHeight="1" x14ac:dyDescent="0.25">
      <c r="A111" s="746"/>
      <c r="B111" s="762" t="s">
        <v>326</v>
      </c>
      <c r="C111" s="910"/>
      <c r="D111" s="873"/>
      <c r="E111" s="540">
        <v>1223</v>
      </c>
      <c r="F111" s="660">
        <v>1063</v>
      </c>
      <c r="G111" s="523">
        <f t="shared" si="6"/>
        <v>913</v>
      </c>
      <c r="H111" s="747">
        <v>100</v>
      </c>
      <c r="I111" s="748">
        <v>101</v>
      </c>
      <c r="J111" s="748">
        <v>92</v>
      </c>
      <c r="K111" s="748">
        <v>97</v>
      </c>
      <c r="L111" s="748">
        <v>74</v>
      </c>
      <c r="M111" s="748">
        <v>71</v>
      </c>
      <c r="N111" s="748">
        <v>99</v>
      </c>
      <c r="O111" s="748">
        <v>55</v>
      </c>
      <c r="P111" s="748">
        <v>46</v>
      </c>
      <c r="Q111" s="748">
        <v>67</v>
      </c>
      <c r="R111" s="748">
        <v>61</v>
      </c>
      <c r="S111" s="749">
        <v>50</v>
      </c>
    </row>
    <row r="112" spans="1:19" s="750" customFormat="1" ht="15" customHeight="1" x14ac:dyDescent="0.25">
      <c r="A112" s="746"/>
      <c r="B112" s="762" t="s">
        <v>327</v>
      </c>
      <c r="C112" s="910"/>
      <c r="D112" s="873"/>
      <c r="E112" s="540">
        <v>115</v>
      </c>
      <c r="F112" s="660">
        <v>120</v>
      </c>
      <c r="G112" s="523">
        <f t="shared" si="6"/>
        <v>94</v>
      </c>
      <c r="H112" s="747">
        <v>9</v>
      </c>
      <c r="I112" s="748">
        <v>9</v>
      </c>
      <c r="J112" s="748">
        <v>8</v>
      </c>
      <c r="K112" s="748">
        <v>11</v>
      </c>
      <c r="L112" s="748">
        <v>4</v>
      </c>
      <c r="M112" s="748">
        <v>12</v>
      </c>
      <c r="N112" s="748">
        <v>7</v>
      </c>
      <c r="O112" s="748">
        <v>7</v>
      </c>
      <c r="P112" s="748">
        <v>7</v>
      </c>
      <c r="Q112" s="748">
        <v>4</v>
      </c>
      <c r="R112" s="748">
        <v>10</v>
      </c>
      <c r="S112" s="749">
        <v>6</v>
      </c>
    </row>
    <row r="113" spans="1:19" s="750" customFormat="1" ht="15" customHeight="1" x14ac:dyDescent="0.25">
      <c r="A113" s="746"/>
      <c r="B113" s="760" t="s">
        <v>328</v>
      </c>
      <c r="C113" s="905"/>
      <c r="D113" s="874"/>
      <c r="E113" s="540">
        <v>143</v>
      </c>
      <c r="F113" s="660">
        <v>97</v>
      </c>
      <c r="G113" s="523">
        <f t="shared" si="6"/>
        <v>78</v>
      </c>
      <c r="H113" s="747">
        <v>15</v>
      </c>
      <c r="I113" s="748">
        <v>6</v>
      </c>
      <c r="J113" s="748">
        <v>0</v>
      </c>
      <c r="K113" s="748">
        <v>11</v>
      </c>
      <c r="L113" s="748">
        <v>2</v>
      </c>
      <c r="M113" s="748">
        <v>6</v>
      </c>
      <c r="N113" s="748">
        <v>7</v>
      </c>
      <c r="O113" s="748">
        <v>5</v>
      </c>
      <c r="P113" s="748">
        <v>10</v>
      </c>
      <c r="Q113" s="748">
        <v>6</v>
      </c>
      <c r="R113" s="748">
        <v>7</v>
      </c>
      <c r="S113" s="749">
        <v>3</v>
      </c>
    </row>
    <row r="114" spans="1:19" s="750" customFormat="1" ht="15" customHeight="1" x14ac:dyDescent="0.25">
      <c r="A114" s="746"/>
      <c r="B114" s="759" t="s">
        <v>329</v>
      </c>
      <c r="C114" s="915"/>
      <c r="D114" s="881"/>
      <c r="E114" s="543">
        <v>128</v>
      </c>
      <c r="F114" s="682">
        <v>170</v>
      </c>
      <c r="G114" s="542">
        <f t="shared" si="6"/>
        <v>141</v>
      </c>
      <c r="H114" s="747">
        <v>8</v>
      </c>
      <c r="I114" s="748">
        <v>21</v>
      </c>
      <c r="J114" s="748">
        <v>12</v>
      </c>
      <c r="K114" s="748">
        <v>13</v>
      </c>
      <c r="L114" s="748">
        <v>10</v>
      </c>
      <c r="M114" s="748">
        <v>7</v>
      </c>
      <c r="N114" s="748">
        <v>6</v>
      </c>
      <c r="O114" s="748">
        <v>4</v>
      </c>
      <c r="P114" s="748">
        <v>8</v>
      </c>
      <c r="Q114" s="748">
        <v>13</v>
      </c>
      <c r="R114" s="748">
        <v>19</v>
      </c>
      <c r="S114" s="749">
        <v>20</v>
      </c>
    </row>
    <row r="115" spans="1:19" s="655" customFormat="1" ht="15.95" customHeight="1" x14ac:dyDescent="0.25">
      <c r="A115" s="654"/>
      <c r="B115" s="1054" t="s">
        <v>265</v>
      </c>
      <c r="C115" s="1055"/>
      <c r="D115" s="1055"/>
      <c r="E115" s="1055"/>
      <c r="F115" s="1055"/>
      <c r="G115" s="1055"/>
      <c r="H115" s="1055"/>
      <c r="I115" s="1055"/>
      <c r="J115" s="1055"/>
      <c r="K115" s="1055"/>
      <c r="L115" s="1055"/>
      <c r="M115" s="1055"/>
      <c r="N115" s="1055"/>
      <c r="O115" s="1055"/>
      <c r="P115" s="1055"/>
      <c r="Q115" s="1055"/>
      <c r="R115" s="1055"/>
      <c r="S115" s="1056"/>
    </row>
    <row r="116" spans="1:19" s="655" customFormat="1" ht="15.95" customHeight="1" x14ac:dyDescent="0.25">
      <c r="A116" s="654"/>
      <c r="B116" s="1057" t="s">
        <v>73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/>
      <c r="P116" s="1058"/>
      <c r="Q116" s="1058"/>
      <c r="R116" s="1058"/>
      <c r="S116" s="1059"/>
    </row>
    <row r="117" spans="1:19" ht="15" customHeight="1" x14ac:dyDescent="0.25">
      <c r="A117" s="516"/>
      <c r="B117" s="536" t="s">
        <v>388</v>
      </c>
      <c r="E117" s="930">
        <v>0</v>
      </c>
      <c r="F117" s="931">
        <v>0</v>
      </c>
      <c r="G117" s="932">
        <f>SUM(H117:S117)</f>
        <v>0</v>
      </c>
      <c r="H117" s="564" t="s">
        <v>144</v>
      </c>
      <c r="I117" s="565" t="s">
        <v>144</v>
      </c>
      <c r="J117" s="565" t="s">
        <v>144</v>
      </c>
      <c r="K117" s="565" t="s">
        <v>144</v>
      </c>
      <c r="L117" s="565" t="s">
        <v>144</v>
      </c>
      <c r="M117" s="565" t="s">
        <v>144</v>
      </c>
      <c r="N117" s="565" t="s">
        <v>144</v>
      </c>
      <c r="O117" s="565" t="s">
        <v>144</v>
      </c>
      <c r="P117" s="565" t="s">
        <v>144</v>
      </c>
      <c r="Q117" s="565" t="s">
        <v>144</v>
      </c>
      <c r="R117" s="565" t="s">
        <v>144</v>
      </c>
      <c r="S117" s="565" t="s">
        <v>144</v>
      </c>
    </row>
    <row r="118" spans="1:19" ht="0.75" hidden="1" customHeight="1" x14ac:dyDescent="0.25">
      <c r="A118" s="516"/>
      <c r="B118" s="762" t="s">
        <v>270</v>
      </c>
      <c r="C118" s="907"/>
      <c r="E118" s="734">
        <v>0</v>
      </c>
      <c r="F118" s="735">
        <v>0</v>
      </c>
      <c r="G118" s="715">
        <f t="shared" ref="G118:G119" si="7">SUM(H118:S118)</f>
        <v>0</v>
      </c>
      <c r="H118" s="564" t="s">
        <v>144</v>
      </c>
      <c r="I118" s="565" t="s">
        <v>144</v>
      </c>
      <c r="J118" s="565" t="s">
        <v>144</v>
      </c>
      <c r="K118" s="565" t="s">
        <v>144</v>
      </c>
      <c r="L118" s="565" t="s">
        <v>144</v>
      </c>
      <c r="M118" s="565" t="s">
        <v>144</v>
      </c>
      <c r="N118" s="565" t="s">
        <v>144</v>
      </c>
      <c r="O118" s="565">
        <v>0</v>
      </c>
      <c r="P118" s="565">
        <v>0</v>
      </c>
      <c r="Q118" s="565">
        <v>0</v>
      </c>
      <c r="R118" s="565">
        <v>0</v>
      </c>
      <c r="S118" s="567">
        <v>0</v>
      </c>
    </row>
    <row r="119" spans="1:19" ht="0.75" hidden="1" customHeight="1" x14ac:dyDescent="0.25">
      <c r="A119" s="516"/>
      <c r="B119" s="762" t="s">
        <v>273</v>
      </c>
      <c r="C119" s="907"/>
      <c r="E119" s="734">
        <v>0</v>
      </c>
      <c r="F119" s="735">
        <v>0</v>
      </c>
      <c r="G119" s="715">
        <f t="shared" si="7"/>
        <v>0</v>
      </c>
      <c r="H119" s="564" t="s">
        <v>144</v>
      </c>
      <c r="I119" s="565" t="s">
        <v>144</v>
      </c>
      <c r="J119" s="565" t="s">
        <v>144</v>
      </c>
      <c r="K119" s="565" t="s">
        <v>144</v>
      </c>
      <c r="L119" s="565" t="s">
        <v>144</v>
      </c>
      <c r="M119" s="565" t="s">
        <v>144</v>
      </c>
      <c r="N119" s="565" t="s">
        <v>144</v>
      </c>
      <c r="O119" s="565">
        <v>0</v>
      </c>
      <c r="P119" s="565">
        <v>0</v>
      </c>
      <c r="Q119" s="565">
        <v>0</v>
      </c>
      <c r="R119" s="565">
        <v>0</v>
      </c>
      <c r="S119" s="567">
        <v>0</v>
      </c>
    </row>
    <row r="120" spans="1:19" ht="15" customHeight="1" x14ac:dyDescent="0.25">
      <c r="A120" s="516"/>
      <c r="B120" s="522" t="s">
        <v>330</v>
      </c>
      <c r="C120" s="750"/>
      <c r="D120" s="921" t="s">
        <v>384</v>
      </c>
      <c r="E120" s="734">
        <v>0</v>
      </c>
      <c r="F120" s="735">
        <v>1352</v>
      </c>
      <c r="G120" s="715">
        <f>AVERAGEIF(H120:S120,"&lt;&gt;0")</f>
        <v>118</v>
      </c>
      <c r="H120" s="564">
        <v>131</v>
      </c>
      <c r="I120" s="835" t="s">
        <v>144</v>
      </c>
      <c r="J120" s="565">
        <v>123</v>
      </c>
      <c r="K120" s="565">
        <v>112</v>
      </c>
      <c r="L120" s="565">
        <v>119</v>
      </c>
      <c r="M120" s="565">
        <v>113</v>
      </c>
      <c r="N120" s="565">
        <v>111</v>
      </c>
      <c r="O120" s="565">
        <v>109</v>
      </c>
      <c r="P120" s="565">
        <v>109</v>
      </c>
      <c r="Q120" s="565">
        <v>112</v>
      </c>
      <c r="R120" s="565">
        <v>112</v>
      </c>
      <c r="S120" s="567">
        <v>147</v>
      </c>
    </row>
    <row r="121" spans="1:19" ht="15" customHeight="1" x14ac:dyDescent="0.25">
      <c r="A121" s="516"/>
      <c r="B121" s="522" t="s">
        <v>331</v>
      </c>
      <c r="C121" s="750"/>
      <c r="D121" s="921" t="s">
        <v>384</v>
      </c>
      <c r="E121" s="734">
        <v>0</v>
      </c>
      <c r="F121" s="735">
        <v>597</v>
      </c>
      <c r="G121" s="715">
        <f t="shared" ref="G121:G123" si="8">AVERAGEIF(H121:S121,"&lt;&gt;0")</f>
        <v>42.363636363636367</v>
      </c>
      <c r="H121" s="564">
        <v>57</v>
      </c>
      <c r="I121" s="835" t="s">
        <v>144</v>
      </c>
      <c r="J121" s="565">
        <v>42</v>
      </c>
      <c r="K121" s="565">
        <v>58</v>
      </c>
      <c r="L121" s="565">
        <v>38</v>
      </c>
      <c r="M121" s="565">
        <v>48</v>
      </c>
      <c r="N121" s="565">
        <v>48</v>
      </c>
      <c r="O121" s="565">
        <v>41</v>
      </c>
      <c r="P121" s="565">
        <v>42</v>
      </c>
      <c r="Q121" s="565">
        <v>32</v>
      </c>
      <c r="R121" s="565">
        <v>29</v>
      </c>
      <c r="S121" s="567">
        <v>31</v>
      </c>
    </row>
    <row r="122" spans="1:19" ht="13.5" customHeight="1" x14ac:dyDescent="0.25">
      <c r="A122" s="516"/>
      <c r="B122" s="534" t="s">
        <v>332</v>
      </c>
      <c r="D122" s="921" t="s">
        <v>384</v>
      </c>
      <c r="E122" s="734">
        <v>0</v>
      </c>
      <c r="F122" s="735">
        <v>15033</v>
      </c>
      <c r="G122" s="715">
        <f t="shared" si="8"/>
        <v>672.63636363636363</v>
      </c>
      <c r="H122" s="564">
        <v>229</v>
      </c>
      <c r="I122" s="835" t="s">
        <v>144</v>
      </c>
      <c r="J122" s="565">
        <v>440</v>
      </c>
      <c r="K122" s="565">
        <v>530</v>
      </c>
      <c r="L122" s="565">
        <v>560</v>
      </c>
      <c r="M122" s="565">
        <v>609</v>
      </c>
      <c r="N122" s="565">
        <v>674</v>
      </c>
      <c r="O122" s="565">
        <v>728</v>
      </c>
      <c r="P122" s="565">
        <v>799</v>
      </c>
      <c r="Q122" s="565">
        <v>889</v>
      </c>
      <c r="R122" s="565">
        <v>939</v>
      </c>
      <c r="S122" s="567">
        <v>1002</v>
      </c>
    </row>
    <row r="123" spans="1:19" ht="1.5" hidden="1" customHeight="1" x14ac:dyDescent="0.25">
      <c r="A123" s="516"/>
      <c r="B123" s="762" t="s">
        <v>270</v>
      </c>
      <c r="C123" s="907"/>
      <c r="E123" s="734">
        <v>0</v>
      </c>
      <c r="F123" s="735">
        <v>403</v>
      </c>
      <c r="G123" s="715">
        <f t="shared" si="8"/>
        <v>74.400000000000006</v>
      </c>
      <c r="H123" s="564">
        <v>130</v>
      </c>
      <c r="I123" s="835" t="s">
        <v>144</v>
      </c>
      <c r="J123" s="565">
        <v>73</v>
      </c>
      <c r="K123" s="565">
        <v>90</v>
      </c>
      <c r="L123" s="565">
        <v>30</v>
      </c>
      <c r="M123" s="565">
        <v>49</v>
      </c>
      <c r="N123" s="565">
        <v>0</v>
      </c>
      <c r="O123" s="565">
        <v>0</v>
      </c>
      <c r="P123" s="565">
        <v>0</v>
      </c>
      <c r="Q123" s="565">
        <v>0</v>
      </c>
      <c r="R123" s="565">
        <v>0</v>
      </c>
      <c r="S123" s="567">
        <v>0</v>
      </c>
    </row>
    <row r="124" spans="1:19" ht="2.25" hidden="1" customHeight="1" x14ac:dyDescent="0.25">
      <c r="A124" s="516"/>
      <c r="B124" s="761" t="s">
        <v>271</v>
      </c>
      <c r="C124" s="907"/>
      <c r="E124" s="734">
        <v>0</v>
      </c>
      <c r="F124" s="735">
        <v>2006</v>
      </c>
      <c r="G124" s="716">
        <f t="shared" ref="G124" si="9">SUM(H124:S124)</f>
        <v>0</v>
      </c>
      <c r="H124" s="564">
        <v>0</v>
      </c>
      <c r="I124" s="836" t="s">
        <v>144</v>
      </c>
      <c r="J124" s="568" t="s">
        <v>144</v>
      </c>
      <c r="K124" s="568" t="s">
        <v>144</v>
      </c>
      <c r="L124" s="568" t="s">
        <v>144</v>
      </c>
      <c r="M124" s="568" t="s">
        <v>144</v>
      </c>
      <c r="N124" s="568">
        <v>0</v>
      </c>
      <c r="O124" s="568">
        <v>0</v>
      </c>
      <c r="P124" s="568">
        <v>0</v>
      </c>
      <c r="Q124" s="568">
        <v>0</v>
      </c>
      <c r="R124" s="568">
        <v>0</v>
      </c>
      <c r="S124" s="567">
        <v>0</v>
      </c>
    </row>
    <row r="125" spans="1:19" s="655" customFormat="1" ht="15.95" customHeight="1" x14ac:dyDescent="0.25">
      <c r="A125" s="654"/>
      <c r="B125" s="1060" t="s">
        <v>336</v>
      </c>
      <c r="C125" s="1061"/>
      <c r="D125" s="1061"/>
      <c r="E125" s="1061"/>
      <c r="F125" s="1061"/>
      <c r="G125" s="1061"/>
      <c r="H125" s="1061"/>
      <c r="I125" s="1061"/>
      <c r="J125" s="1061"/>
      <c r="K125" s="1061"/>
      <c r="L125" s="1061"/>
      <c r="M125" s="1061"/>
      <c r="N125" s="1061"/>
      <c r="O125" s="1061"/>
      <c r="P125" s="1061"/>
      <c r="Q125" s="1061"/>
      <c r="R125" s="1061"/>
      <c r="S125" s="1062"/>
    </row>
    <row r="126" spans="1:19" ht="15" customHeight="1" x14ac:dyDescent="0.25">
      <c r="A126" s="516"/>
      <c r="B126" s="536" t="s">
        <v>390</v>
      </c>
      <c r="E126" s="736">
        <v>0</v>
      </c>
      <c r="F126" s="737">
        <v>222633</v>
      </c>
      <c r="G126" s="738">
        <f>SUM(H126:S126)</f>
        <v>206077</v>
      </c>
      <c r="H126" s="537">
        <v>17967</v>
      </c>
      <c r="I126" s="538">
        <v>18073</v>
      </c>
      <c r="J126" s="538">
        <v>17797</v>
      </c>
      <c r="K126" s="538">
        <v>17724</v>
      </c>
      <c r="L126" s="538">
        <v>27914</v>
      </c>
      <c r="M126" s="538">
        <v>17376</v>
      </c>
      <c r="N126" s="538" t="s">
        <v>144</v>
      </c>
      <c r="O126" s="538">
        <v>19097</v>
      </c>
      <c r="P126" s="538">
        <v>18006</v>
      </c>
      <c r="Q126" s="538">
        <v>17567</v>
      </c>
      <c r="R126" s="538">
        <v>17565</v>
      </c>
      <c r="S126" s="569">
        <v>16991</v>
      </c>
    </row>
    <row r="127" spans="1:19" ht="15" customHeight="1" x14ac:dyDescent="0.25">
      <c r="A127" s="516"/>
      <c r="B127" s="534" t="s">
        <v>333</v>
      </c>
      <c r="E127" s="736">
        <v>0</v>
      </c>
      <c r="F127" s="737">
        <v>412422</v>
      </c>
      <c r="G127" s="738">
        <f>SUM(H127:S127)</f>
        <v>402437</v>
      </c>
      <c r="H127" s="540">
        <v>37258</v>
      </c>
      <c r="I127" s="541">
        <v>37430</v>
      </c>
      <c r="J127" s="541">
        <v>36791</v>
      </c>
      <c r="K127" s="541">
        <v>36594</v>
      </c>
      <c r="L127" s="541">
        <v>35228</v>
      </c>
      <c r="M127" s="541">
        <v>35781</v>
      </c>
      <c r="N127" s="538" t="s">
        <v>144</v>
      </c>
      <c r="O127" s="541">
        <v>39174</v>
      </c>
      <c r="P127" s="541">
        <v>36978</v>
      </c>
      <c r="Q127" s="541">
        <v>36160</v>
      </c>
      <c r="R127" s="541">
        <v>36036</v>
      </c>
      <c r="S127" s="539">
        <v>35007</v>
      </c>
    </row>
    <row r="128" spans="1:19" ht="15" hidden="1" customHeight="1" x14ac:dyDescent="0.25">
      <c r="A128" s="516"/>
      <c r="B128" s="535" t="s">
        <v>334</v>
      </c>
      <c r="E128" s="736">
        <v>0</v>
      </c>
      <c r="F128" s="737">
        <v>0</v>
      </c>
      <c r="G128" s="738">
        <f>SUM(H128:S128)</f>
        <v>0</v>
      </c>
      <c r="H128" s="570">
        <v>0</v>
      </c>
      <c r="I128" s="558">
        <v>0</v>
      </c>
      <c r="J128" s="558">
        <v>0</v>
      </c>
      <c r="K128" s="558">
        <v>0</v>
      </c>
      <c r="L128" s="558">
        <v>0</v>
      </c>
      <c r="M128" s="558">
        <v>0</v>
      </c>
      <c r="N128" s="538" t="s">
        <v>144</v>
      </c>
      <c r="O128" s="558">
        <v>0</v>
      </c>
      <c r="P128" s="558">
        <v>0</v>
      </c>
      <c r="Q128" s="558">
        <v>0</v>
      </c>
      <c r="R128" s="558">
        <v>0</v>
      </c>
      <c r="S128" s="571">
        <v>0</v>
      </c>
    </row>
    <row r="129" spans="1:19" ht="15" customHeight="1" x14ac:dyDescent="0.25">
      <c r="A129" s="516"/>
      <c r="B129" s="535" t="s">
        <v>335</v>
      </c>
      <c r="E129" s="736">
        <v>0</v>
      </c>
      <c r="F129" s="737">
        <v>56104956.780000001</v>
      </c>
      <c r="G129" s="738">
        <f>SUM(H129:S129)</f>
        <v>44165537.370000005</v>
      </c>
      <c r="H129" s="572">
        <v>4485304</v>
      </c>
      <c r="I129" s="573">
        <v>4517818</v>
      </c>
      <c r="J129" s="573">
        <v>4439122</v>
      </c>
      <c r="K129" s="573">
        <v>4441816</v>
      </c>
      <c r="L129" s="573">
        <v>4280253</v>
      </c>
      <c r="M129" s="573">
        <v>4387727</v>
      </c>
      <c r="N129" s="538" t="s">
        <v>144</v>
      </c>
      <c r="O129" s="573">
        <v>199722</v>
      </c>
      <c r="P129" s="573">
        <v>4455286.37</v>
      </c>
      <c r="Q129" s="573">
        <v>4345017</v>
      </c>
      <c r="R129" s="573">
        <v>4376801</v>
      </c>
      <c r="S129" s="575">
        <v>4236671</v>
      </c>
    </row>
    <row r="130" spans="1:19" s="655" customFormat="1" ht="15.95" customHeight="1" x14ac:dyDescent="0.25">
      <c r="A130" s="654"/>
      <c r="B130" s="1060" t="s">
        <v>385</v>
      </c>
      <c r="C130" s="1061"/>
      <c r="D130" s="1061"/>
      <c r="E130" s="1061"/>
      <c r="F130" s="1061"/>
      <c r="G130" s="1061"/>
      <c r="H130" s="1061"/>
      <c r="I130" s="1061"/>
      <c r="J130" s="1061"/>
      <c r="K130" s="1061"/>
      <c r="L130" s="1061"/>
      <c r="M130" s="1061"/>
      <c r="N130" s="1061"/>
      <c r="O130" s="1061"/>
      <c r="P130" s="1061"/>
      <c r="Q130" s="1061"/>
      <c r="R130" s="1061"/>
      <c r="S130" s="1062"/>
    </row>
    <row r="131" spans="1:19" ht="12.75" customHeight="1" x14ac:dyDescent="0.25">
      <c r="A131" s="516"/>
      <c r="B131" s="536" t="s">
        <v>386</v>
      </c>
      <c r="E131" s="724">
        <v>0</v>
      </c>
      <c r="F131" s="725">
        <v>559666</v>
      </c>
      <c r="G131" s="739">
        <f>SUM(H131:S131)</f>
        <v>536469</v>
      </c>
      <c r="H131" s="821">
        <v>54508</v>
      </c>
      <c r="I131" s="538">
        <v>47251</v>
      </c>
      <c r="J131" s="831">
        <v>39719</v>
      </c>
      <c r="K131" s="831">
        <v>43227</v>
      </c>
      <c r="L131" s="831">
        <v>42312</v>
      </c>
      <c r="M131" s="538">
        <v>44647</v>
      </c>
      <c r="N131" s="512" t="s">
        <v>144</v>
      </c>
      <c r="O131" s="538">
        <v>50710</v>
      </c>
      <c r="P131" s="538">
        <v>51733</v>
      </c>
      <c r="Q131" s="538">
        <v>52879</v>
      </c>
      <c r="R131" s="538">
        <v>54053</v>
      </c>
      <c r="S131" s="569">
        <v>55430</v>
      </c>
    </row>
    <row r="132" spans="1:19" ht="20.25" hidden="1" customHeight="1" x14ac:dyDescent="0.25">
      <c r="A132" s="516"/>
      <c r="B132" s="534" t="s">
        <v>337</v>
      </c>
      <c r="E132" s="724">
        <v>0</v>
      </c>
      <c r="F132" s="725">
        <v>12670</v>
      </c>
      <c r="G132" s="739">
        <f>SUM(H132:S132)</f>
        <v>0</v>
      </c>
      <c r="H132" s="524" t="s">
        <v>144</v>
      </c>
      <c r="I132" s="525" t="s">
        <v>144</v>
      </c>
      <c r="J132" s="525" t="s">
        <v>144</v>
      </c>
      <c r="K132" s="525" t="s">
        <v>144</v>
      </c>
      <c r="L132" s="525" t="s">
        <v>144</v>
      </c>
      <c r="M132" s="525" t="s">
        <v>144</v>
      </c>
      <c r="N132" s="512" t="s">
        <v>144</v>
      </c>
      <c r="O132" s="525">
        <v>0</v>
      </c>
      <c r="P132" s="525">
        <v>0</v>
      </c>
      <c r="Q132" s="525">
        <v>0</v>
      </c>
      <c r="R132" s="525">
        <v>0</v>
      </c>
      <c r="S132" s="521">
        <v>0</v>
      </c>
    </row>
    <row r="133" spans="1:19" ht="15" customHeight="1" x14ac:dyDescent="0.25">
      <c r="A133" s="516"/>
      <c r="B133" s="535" t="s">
        <v>338</v>
      </c>
      <c r="E133" s="724">
        <v>0</v>
      </c>
      <c r="F133" s="725">
        <v>7734</v>
      </c>
      <c r="G133" s="739">
        <f>SUM(H133:S133)</f>
        <v>5964</v>
      </c>
      <c r="H133" s="524">
        <v>595</v>
      </c>
      <c r="I133" s="525">
        <v>514</v>
      </c>
      <c r="J133" s="525">
        <v>439</v>
      </c>
      <c r="K133" s="525">
        <v>534</v>
      </c>
      <c r="L133" s="525">
        <v>518</v>
      </c>
      <c r="M133" s="525">
        <v>526</v>
      </c>
      <c r="N133" s="512" t="s">
        <v>144</v>
      </c>
      <c r="O133" s="525">
        <v>565</v>
      </c>
      <c r="P133" s="525">
        <v>571</v>
      </c>
      <c r="Q133" s="525">
        <v>573</v>
      </c>
      <c r="R133" s="525">
        <v>564</v>
      </c>
      <c r="S133" s="526">
        <v>565</v>
      </c>
    </row>
    <row r="134" spans="1:19" ht="25.5" x14ac:dyDescent="0.25">
      <c r="A134" s="516"/>
      <c r="B134" s="900" t="s">
        <v>370</v>
      </c>
      <c r="C134" s="916"/>
      <c r="D134" s="876"/>
      <c r="E134" s="724">
        <v>0</v>
      </c>
      <c r="F134" s="725">
        <v>1.8613464253625978</v>
      </c>
      <c r="G134" s="739">
        <f>SUM(H134:S134)</f>
        <v>2.865624919334361</v>
      </c>
      <c r="H134" s="849">
        <f>SUM(H131,H133)/S177</f>
        <v>0.17681619817738417</v>
      </c>
      <c r="I134" s="824">
        <f>SUM(I131,I133)/S177</f>
        <v>0.1532697984854319</v>
      </c>
      <c r="J134" s="824">
        <f>SUM(J131,J133)/S177</f>
        <v>0.12886022333461686</v>
      </c>
      <c r="K134" s="824">
        <f>SUM(K131,K133)/S177</f>
        <v>0.14042164035425492</v>
      </c>
      <c r="L134" s="824">
        <f>SUM(L131,L133)/S177</f>
        <v>0.13743421897060712</v>
      </c>
      <c r="M134" s="824">
        <f>SUM(M131,M133)/S177</f>
        <v>0.14495250930560905</v>
      </c>
      <c r="N134" s="512" t="s">
        <v>144</v>
      </c>
      <c r="O134" s="576">
        <f>SUM(O131:O133)/S177</f>
        <v>0.16453279424977538</v>
      </c>
      <c r="P134" s="576">
        <f>SUM(P131:P133)/S177</f>
        <v>0.16783468104222821</v>
      </c>
      <c r="Q134" s="576">
        <f>SUM(Q131:Q133)/S177</f>
        <v>0.17151841868823001</v>
      </c>
      <c r="R134" s="576">
        <f>SUM(R131:R133)/S177</f>
        <v>0.17525670645616737</v>
      </c>
      <c r="S134" s="576">
        <f>SUM(S131:S133)/T177</f>
        <v>1.3047277302700562</v>
      </c>
    </row>
    <row r="135" spans="1:19" ht="15" customHeight="1" x14ac:dyDescent="0.25">
      <c r="A135" s="516"/>
      <c r="B135" s="901" t="s">
        <v>339</v>
      </c>
      <c r="C135" s="916"/>
      <c r="D135" s="876"/>
      <c r="E135" s="724">
        <v>0</v>
      </c>
      <c r="F135" s="740">
        <v>3850262</v>
      </c>
      <c r="G135" s="739">
        <f>SUM(H135:S135)</f>
        <v>2721035</v>
      </c>
      <c r="H135" s="578">
        <v>273626</v>
      </c>
      <c r="I135" s="579">
        <v>228423</v>
      </c>
      <c r="J135" s="579">
        <v>196095</v>
      </c>
      <c r="K135" s="579">
        <v>235387</v>
      </c>
      <c r="L135" s="579">
        <v>238408</v>
      </c>
      <c r="M135" s="579">
        <v>234999</v>
      </c>
      <c r="N135" s="512" t="s">
        <v>144</v>
      </c>
      <c r="O135" s="579">
        <v>265190</v>
      </c>
      <c r="P135" s="579">
        <v>256594</v>
      </c>
      <c r="Q135" s="579">
        <v>256960</v>
      </c>
      <c r="R135" s="579">
        <v>261647</v>
      </c>
      <c r="S135" s="580">
        <v>273706</v>
      </c>
    </row>
    <row r="136" spans="1:19" ht="15" customHeight="1" x14ac:dyDescent="0.25">
      <c r="A136" s="516"/>
      <c r="B136" s="901" t="s">
        <v>387</v>
      </c>
      <c r="C136" s="916"/>
      <c r="D136" s="876"/>
      <c r="E136" s="729"/>
      <c r="F136" s="732"/>
      <c r="G136" s="897"/>
      <c r="H136" s="899"/>
      <c r="I136" s="898"/>
      <c r="J136" s="898"/>
      <c r="K136" s="898"/>
      <c r="L136" s="898"/>
      <c r="M136" s="898"/>
      <c r="N136" s="898"/>
      <c r="O136" s="898"/>
      <c r="P136" s="898"/>
      <c r="Q136" s="898"/>
      <c r="R136" s="898"/>
      <c r="S136" s="898"/>
    </row>
    <row r="137" spans="1:19" s="655" customFormat="1" ht="15.75" customHeight="1" x14ac:dyDescent="0.25">
      <c r="A137" s="654"/>
      <c r="B137" s="1063" t="s">
        <v>88</v>
      </c>
      <c r="C137" s="1064"/>
      <c r="D137" s="1064"/>
      <c r="E137" s="1064"/>
      <c r="F137" s="1064"/>
      <c r="G137" s="1064"/>
      <c r="H137" s="1064"/>
      <c r="I137" s="1064"/>
      <c r="J137" s="1064"/>
      <c r="K137" s="1064"/>
      <c r="L137" s="1064"/>
      <c r="M137" s="1064"/>
      <c r="N137" s="1064"/>
      <c r="O137" s="1064"/>
      <c r="P137" s="1064"/>
      <c r="Q137" s="1064"/>
      <c r="R137" s="1064"/>
      <c r="S137" s="1065"/>
    </row>
    <row r="138" spans="1:19" s="655" customFormat="1" ht="15.95" customHeight="1" x14ac:dyDescent="0.25">
      <c r="A138" s="654"/>
      <c r="B138" s="1066" t="s">
        <v>87</v>
      </c>
      <c r="C138" s="1067"/>
      <c r="D138" s="1067"/>
      <c r="E138" s="1067"/>
      <c r="F138" s="1067"/>
      <c r="G138" s="1067"/>
      <c r="H138" s="1067"/>
      <c r="I138" s="1067"/>
      <c r="J138" s="1067"/>
      <c r="K138" s="1067"/>
      <c r="L138" s="1067"/>
      <c r="M138" s="1067"/>
      <c r="N138" s="1067"/>
      <c r="O138" s="1067"/>
      <c r="P138" s="1067"/>
      <c r="Q138" s="1067"/>
      <c r="R138" s="1067"/>
      <c r="S138" s="1068"/>
    </row>
    <row r="139" spans="1:19" ht="15" customHeight="1" x14ac:dyDescent="0.25">
      <c r="A139" s="516"/>
      <c r="B139" s="536" t="s">
        <v>395</v>
      </c>
      <c r="E139" s="724">
        <v>0</v>
      </c>
      <c r="F139" s="725">
        <v>4108</v>
      </c>
      <c r="G139" s="739">
        <f>SUM(H139:S139)</f>
        <v>2517</v>
      </c>
      <c r="H139" s="511">
        <v>244</v>
      </c>
      <c r="I139" s="561">
        <v>199</v>
      </c>
      <c r="J139" s="561">
        <v>164</v>
      </c>
      <c r="K139" s="561">
        <v>185</v>
      </c>
      <c r="L139" s="561">
        <v>171</v>
      </c>
      <c r="M139" s="561">
        <v>210</v>
      </c>
      <c r="N139" s="512">
        <v>243</v>
      </c>
      <c r="O139" s="561">
        <v>243</v>
      </c>
      <c r="P139" s="561">
        <f>SUM(P140:P141)</f>
        <v>218</v>
      </c>
      <c r="Q139" s="561">
        <v>197</v>
      </c>
      <c r="R139" s="561">
        <v>222</v>
      </c>
      <c r="S139" s="527">
        <v>221</v>
      </c>
    </row>
    <row r="140" spans="1:19" ht="15" customHeight="1" x14ac:dyDescent="0.25">
      <c r="A140" s="516"/>
      <c r="B140" s="762" t="s">
        <v>340</v>
      </c>
      <c r="C140" s="907"/>
      <c r="E140" s="724">
        <v>0</v>
      </c>
      <c r="F140" s="725">
        <v>3156</v>
      </c>
      <c r="G140" s="739">
        <f>SUM(H140:S140)</f>
        <v>1953</v>
      </c>
      <c r="H140" s="519">
        <v>203</v>
      </c>
      <c r="I140" s="520">
        <v>169</v>
      </c>
      <c r="J140" s="520">
        <v>147</v>
      </c>
      <c r="K140" s="561">
        <v>165</v>
      </c>
      <c r="L140" s="561">
        <v>153</v>
      </c>
      <c r="M140" s="561">
        <v>162</v>
      </c>
      <c r="N140" s="512">
        <v>192</v>
      </c>
      <c r="O140" s="807">
        <v>192</v>
      </c>
      <c r="P140" s="520">
        <v>187</v>
      </c>
      <c r="Q140" s="520">
        <v>0</v>
      </c>
      <c r="R140" s="520">
        <v>189</v>
      </c>
      <c r="S140" s="521">
        <v>194</v>
      </c>
    </row>
    <row r="141" spans="1:19" ht="15" customHeight="1" x14ac:dyDescent="0.25">
      <c r="A141" s="516"/>
      <c r="B141" s="762" t="s">
        <v>341</v>
      </c>
      <c r="C141" s="907"/>
      <c r="E141" s="724">
        <v>0</v>
      </c>
      <c r="F141" s="725">
        <v>952</v>
      </c>
      <c r="G141" s="739">
        <f>SUM(H141:S141)</f>
        <v>364</v>
      </c>
      <c r="H141" s="519">
        <v>41</v>
      </c>
      <c r="I141" s="520">
        <v>30</v>
      </c>
      <c r="J141" s="520">
        <v>17</v>
      </c>
      <c r="K141" s="561">
        <v>20</v>
      </c>
      <c r="L141" s="561">
        <v>18</v>
      </c>
      <c r="M141" s="561">
        <v>48</v>
      </c>
      <c r="N141" s="512">
        <v>51</v>
      </c>
      <c r="O141" s="807">
        <v>51</v>
      </c>
      <c r="P141" s="520">
        <v>31</v>
      </c>
      <c r="Q141" s="520">
        <v>0</v>
      </c>
      <c r="R141" s="520">
        <v>33</v>
      </c>
      <c r="S141" s="521">
        <v>24</v>
      </c>
    </row>
    <row r="142" spans="1:19" ht="15" customHeight="1" x14ac:dyDescent="0.25">
      <c r="A142" s="516"/>
      <c r="B142" s="535" t="s">
        <v>342</v>
      </c>
      <c r="E142" s="724">
        <v>0</v>
      </c>
      <c r="F142" s="725">
        <v>883408</v>
      </c>
      <c r="G142" s="739">
        <f>SUM(H142:S142)</f>
        <v>517125</v>
      </c>
      <c r="H142" s="578">
        <f>7435+42091+0+724</f>
        <v>50250</v>
      </c>
      <c r="I142" s="574">
        <f>5203+34064+0+724</f>
        <v>39991</v>
      </c>
      <c r="J142" s="574">
        <f>3243+29415+0+543</f>
        <v>33201</v>
      </c>
      <c r="K142" s="574">
        <v>37113</v>
      </c>
      <c r="L142" s="574">
        <v>33788</v>
      </c>
      <c r="M142" s="574">
        <v>40229</v>
      </c>
      <c r="N142" s="574">
        <v>46987</v>
      </c>
      <c r="O142" s="923">
        <v>46987</v>
      </c>
      <c r="P142" s="574">
        <v>43874</v>
      </c>
      <c r="Q142" s="574">
        <v>43611</v>
      </c>
      <c r="R142" s="574">
        <v>51823</v>
      </c>
      <c r="S142" s="575">
        <v>49271</v>
      </c>
    </row>
    <row r="143" spans="1:19" s="655" customFormat="1" ht="15.95" customHeight="1" x14ac:dyDescent="0.25">
      <c r="A143" s="654"/>
      <c r="B143" s="1051" t="s">
        <v>89</v>
      </c>
      <c r="C143" s="1052"/>
      <c r="D143" s="1052"/>
      <c r="E143" s="1052"/>
      <c r="F143" s="1052"/>
      <c r="G143" s="1052"/>
      <c r="H143" s="1052"/>
      <c r="I143" s="1052"/>
      <c r="J143" s="1052"/>
      <c r="K143" s="1052"/>
      <c r="L143" s="1052"/>
      <c r="M143" s="1052"/>
      <c r="N143" s="1052"/>
      <c r="O143" s="1052"/>
      <c r="P143" s="1052"/>
      <c r="Q143" s="1052"/>
      <c r="R143" s="1052"/>
      <c r="S143" s="1053"/>
    </row>
    <row r="144" spans="1:19" ht="15" customHeight="1" x14ac:dyDescent="0.25">
      <c r="A144" s="516"/>
      <c r="B144" s="536" t="s">
        <v>343</v>
      </c>
      <c r="E144" s="724">
        <v>0</v>
      </c>
      <c r="F144" s="725">
        <v>934</v>
      </c>
      <c r="G144" s="739">
        <f>SUM(H144:S144)</f>
        <v>385</v>
      </c>
      <c r="H144" s="892">
        <v>108</v>
      </c>
      <c r="I144" s="893">
        <v>71</v>
      </c>
      <c r="J144" s="893">
        <v>17</v>
      </c>
      <c r="K144" s="893">
        <v>47</v>
      </c>
      <c r="L144" s="893">
        <v>37</v>
      </c>
      <c r="M144" s="894">
        <v>105</v>
      </c>
      <c r="N144" s="926" t="s">
        <v>394</v>
      </c>
      <c r="O144" s="927" t="s">
        <v>394</v>
      </c>
      <c r="P144" s="927" t="s">
        <v>394</v>
      </c>
      <c r="Q144" s="927" t="s">
        <v>394</v>
      </c>
      <c r="R144" s="927" t="s">
        <v>394</v>
      </c>
      <c r="S144" s="927" t="s">
        <v>394</v>
      </c>
    </row>
    <row r="145" spans="1:19" ht="15" hidden="1" customHeight="1" x14ac:dyDescent="0.25">
      <c r="A145" s="516"/>
      <c r="B145" s="581" t="s">
        <v>344</v>
      </c>
      <c r="C145" s="916"/>
      <c r="D145" s="876"/>
      <c r="E145" s="741">
        <v>0</v>
      </c>
      <c r="F145" s="742">
        <v>0</v>
      </c>
      <c r="G145" s="739">
        <f>SUM(H145:S145)</f>
        <v>0</v>
      </c>
      <c r="H145" s="507"/>
      <c r="I145" s="508"/>
      <c r="J145" s="891"/>
      <c r="K145" s="891"/>
      <c r="L145" s="891"/>
      <c r="M145" s="891"/>
      <c r="N145" s="922" t="s">
        <v>144</v>
      </c>
      <c r="O145" s="928"/>
      <c r="P145" s="928"/>
      <c r="Q145" s="928"/>
      <c r="R145" s="582"/>
      <c r="S145" s="583"/>
    </row>
    <row r="146" spans="1:19" ht="15" hidden="1" customHeight="1" x14ac:dyDescent="0.25">
      <c r="A146" s="516"/>
      <c r="B146" s="535" t="s">
        <v>345</v>
      </c>
      <c r="E146" s="743">
        <v>0</v>
      </c>
      <c r="F146" s="744">
        <v>0</v>
      </c>
      <c r="G146" s="745">
        <f>SUM(H146:S146)</f>
        <v>0</v>
      </c>
      <c r="H146" s="507"/>
      <c r="I146" s="508"/>
      <c r="J146" s="584"/>
      <c r="K146" s="584"/>
      <c r="L146" s="584"/>
      <c r="M146" s="584"/>
      <c r="N146" s="922" t="s">
        <v>144</v>
      </c>
      <c r="O146" s="929"/>
      <c r="P146" s="929"/>
      <c r="Q146" s="929"/>
      <c r="R146" s="584"/>
      <c r="S146" s="585"/>
    </row>
    <row r="147" spans="1:19" ht="15" customHeight="1" x14ac:dyDescent="0.25">
      <c r="A147" s="516"/>
      <c r="B147" s="534" t="s">
        <v>346</v>
      </c>
      <c r="C147" s="909"/>
      <c r="D147" s="871"/>
      <c r="E147" s="537">
        <v>115</v>
      </c>
      <c r="F147" s="667">
        <v>89</v>
      </c>
      <c r="G147" s="683">
        <f>SUM(H147:S147)</f>
        <v>33</v>
      </c>
      <c r="H147" s="507">
        <v>2</v>
      </c>
      <c r="I147" s="508">
        <v>1</v>
      </c>
      <c r="J147" s="508">
        <v>4</v>
      </c>
      <c r="K147" s="508">
        <v>7</v>
      </c>
      <c r="L147" s="508">
        <v>4</v>
      </c>
      <c r="M147" s="508">
        <v>6</v>
      </c>
      <c r="N147" s="922">
        <v>3</v>
      </c>
      <c r="O147" s="927" t="s">
        <v>394</v>
      </c>
      <c r="P147" s="508">
        <v>5</v>
      </c>
      <c r="Q147" s="508">
        <v>1</v>
      </c>
      <c r="R147" s="927" t="s">
        <v>394</v>
      </c>
      <c r="S147" s="927" t="s">
        <v>394</v>
      </c>
    </row>
    <row r="148" spans="1:19" ht="15" customHeight="1" x14ac:dyDescent="0.25">
      <c r="A148" s="516"/>
      <c r="B148" s="587" t="s">
        <v>347</v>
      </c>
      <c r="C148" s="917"/>
      <c r="D148" s="881"/>
      <c r="E148" s="543">
        <v>250</v>
      </c>
      <c r="F148" s="682">
        <v>175</v>
      </c>
      <c r="G148" s="542">
        <f>SUM(H148:S148)</f>
        <v>82</v>
      </c>
      <c r="H148" s="588">
        <v>0</v>
      </c>
      <c r="I148" s="589" t="s">
        <v>144</v>
      </c>
      <c r="J148" s="589" t="s">
        <v>144</v>
      </c>
      <c r="K148" s="589" t="s">
        <v>144</v>
      </c>
      <c r="L148" s="589">
        <v>0</v>
      </c>
      <c r="M148" s="589">
        <v>10</v>
      </c>
      <c r="N148" s="589">
        <v>10</v>
      </c>
      <c r="O148" s="696">
        <v>10</v>
      </c>
      <c r="P148" s="589">
        <v>8</v>
      </c>
      <c r="Q148" s="589">
        <v>10</v>
      </c>
      <c r="R148" s="589">
        <v>17</v>
      </c>
      <c r="S148" s="590">
        <v>17</v>
      </c>
    </row>
    <row r="149" spans="1:19" s="655" customFormat="1" ht="15.95" customHeight="1" x14ac:dyDescent="0.25">
      <c r="A149" s="654"/>
      <c r="B149" s="1054" t="s">
        <v>266</v>
      </c>
      <c r="C149" s="1069"/>
      <c r="D149" s="1069"/>
      <c r="E149" s="1069"/>
      <c r="F149" s="1069"/>
      <c r="G149" s="1055"/>
      <c r="H149" s="1055"/>
      <c r="I149" s="1055"/>
      <c r="J149" s="1055"/>
      <c r="K149" s="1055"/>
      <c r="L149" s="1055"/>
      <c r="M149" s="1055"/>
      <c r="N149" s="1055"/>
      <c r="O149" s="1055"/>
      <c r="P149" s="1055"/>
      <c r="Q149" s="1055"/>
      <c r="R149" s="1055"/>
      <c r="S149" s="1056"/>
    </row>
    <row r="150" spans="1:19" s="655" customFormat="1" ht="15.95" customHeight="1" x14ac:dyDescent="0.25">
      <c r="A150" s="654"/>
      <c r="B150" s="1070" t="s">
        <v>94</v>
      </c>
      <c r="C150" s="1071"/>
      <c r="D150" s="1071"/>
      <c r="E150" s="1071"/>
      <c r="F150" s="1071"/>
      <c r="G150" s="1071"/>
      <c r="H150" s="1071"/>
      <c r="I150" s="1071"/>
      <c r="J150" s="1071"/>
      <c r="K150" s="1071"/>
      <c r="L150" s="1071"/>
      <c r="M150" s="1071"/>
      <c r="N150" s="1071"/>
      <c r="O150" s="1071"/>
      <c r="P150" s="1071"/>
      <c r="Q150" s="1071"/>
      <c r="R150" s="1071"/>
      <c r="S150" s="1072"/>
    </row>
    <row r="151" spans="1:19" ht="15" customHeight="1" x14ac:dyDescent="0.25">
      <c r="A151" s="516"/>
      <c r="B151" s="536" t="s">
        <v>348</v>
      </c>
      <c r="C151" s="909"/>
      <c r="D151" s="871"/>
      <c r="E151" s="700">
        <v>655238.52</v>
      </c>
      <c r="F151" s="701">
        <f>SUM(F152:F157)</f>
        <v>1220459.73</v>
      </c>
      <c r="G151" s="591">
        <f>SUM(G152:G157)</f>
        <v>1079517.1099999999</v>
      </c>
      <c r="H151" s="838">
        <f>SUM(H152:H157)</f>
        <v>66825.290000000008</v>
      </c>
      <c r="I151" s="840">
        <f>SUM(I152:I157)</f>
        <v>53501.939999999995</v>
      </c>
      <c r="J151" s="839">
        <f>SUM(J152:J157)</f>
        <v>49283.130000000005</v>
      </c>
      <c r="K151" s="852">
        <v>49593.440000000002</v>
      </c>
      <c r="L151" s="680">
        <f>SUM(L152:L157)</f>
        <v>58696.46</v>
      </c>
      <c r="M151" s="680">
        <v>50806.02</v>
      </c>
      <c r="N151" s="680">
        <v>43938.14</v>
      </c>
      <c r="O151" s="680">
        <f>SUM(O152:O156)</f>
        <v>45801.02</v>
      </c>
      <c r="P151" s="680">
        <f>SUM(P152:P156)</f>
        <v>66560.59</v>
      </c>
      <c r="Q151" s="680">
        <f>SUM(Q152:Q156)</f>
        <v>348392.74</v>
      </c>
      <c r="R151" s="680">
        <f>SUM(R152:R156)</f>
        <v>126260.53</v>
      </c>
      <c r="S151" s="680">
        <f>SUM(S152:S156)</f>
        <v>119857.80999999998</v>
      </c>
    </row>
    <row r="152" spans="1:19" ht="15" customHeight="1" x14ac:dyDescent="0.25">
      <c r="A152" s="516"/>
      <c r="B152" s="763" t="s">
        <v>349</v>
      </c>
      <c r="C152" s="918"/>
      <c r="D152" s="871"/>
      <c r="E152" s="702">
        <v>8784.26</v>
      </c>
      <c r="F152" s="703">
        <v>10425.06</v>
      </c>
      <c r="G152" s="591">
        <f t="shared" ref="G152:G157" si="10">SUM(H152:S152)</f>
        <v>12657.88</v>
      </c>
      <c r="H152" s="550">
        <v>1148</v>
      </c>
      <c r="I152" s="551">
        <v>1070</v>
      </c>
      <c r="J152" s="551">
        <v>750</v>
      </c>
      <c r="K152" s="551">
        <v>616</v>
      </c>
      <c r="L152" s="551">
        <v>583</v>
      </c>
      <c r="M152" s="551">
        <v>583</v>
      </c>
      <c r="N152" s="551">
        <v>1039.1500000000001</v>
      </c>
      <c r="O152" s="551">
        <v>281</v>
      </c>
      <c r="P152" s="551">
        <v>1901</v>
      </c>
      <c r="Q152" s="551">
        <v>429</v>
      </c>
      <c r="R152" s="551">
        <v>323</v>
      </c>
      <c r="S152" s="552">
        <v>3934.73</v>
      </c>
    </row>
    <row r="153" spans="1:19" ht="15" customHeight="1" x14ac:dyDescent="0.25">
      <c r="A153" s="516"/>
      <c r="B153" s="762" t="s">
        <v>350</v>
      </c>
      <c r="C153" s="910"/>
      <c r="D153" s="873"/>
      <c r="E153" s="702">
        <v>589832.02</v>
      </c>
      <c r="F153" s="703">
        <v>1083396.19</v>
      </c>
      <c r="G153" s="592">
        <f t="shared" si="10"/>
        <v>989852.94</v>
      </c>
      <c r="H153" s="550">
        <v>60525.29</v>
      </c>
      <c r="I153" s="551">
        <v>47415.519999999997</v>
      </c>
      <c r="J153" s="551">
        <v>42991.44</v>
      </c>
      <c r="K153" s="851">
        <v>43065.120000000003</v>
      </c>
      <c r="L153" s="551">
        <v>55490.96</v>
      </c>
      <c r="M153" s="551">
        <v>41543.61</v>
      </c>
      <c r="N153" s="551">
        <v>36206.25</v>
      </c>
      <c r="O153" s="551">
        <v>42216.32</v>
      </c>
      <c r="P153" s="551">
        <v>58060.86</v>
      </c>
      <c r="Q153" s="551">
        <v>336512.61</v>
      </c>
      <c r="R153" s="551">
        <v>118270.53</v>
      </c>
      <c r="S153" s="552">
        <v>107554.43</v>
      </c>
    </row>
    <row r="154" spans="1:19" ht="15" customHeight="1" x14ac:dyDescent="0.25">
      <c r="A154" s="516"/>
      <c r="B154" s="762" t="s">
        <v>351</v>
      </c>
      <c r="C154" s="910"/>
      <c r="D154" s="873"/>
      <c r="E154" s="702">
        <v>24142.86</v>
      </c>
      <c r="F154" s="703">
        <v>38427.760000000002</v>
      </c>
      <c r="G154" s="592">
        <f t="shared" si="10"/>
        <v>29876.330000000005</v>
      </c>
      <c r="H154" s="550">
        <v>2626</v>
      </c>
      <c r="I154" s="551">
        <v>2369.92</v>
      </c>
      <c r="J154" s="551">
        <v>3418.04</v>
      </c>
      <c r="K154" s="851">
        <v>3297.32</v>
      </c>
      <c r="L154" s="551">
        <v>2041</v>
      </c>
      <c r="M154" s="551">
        <v>1414.41</v>
      </c>
      <c r="N154" s="551">
        <v>1905.99</v>
      </c>
      <c r="O154" s="551">
        <v>1144.7</v>
      </c>
      <c r="P154" s="551">
        <v>1288.17</v>
      </c>
      <c r="Q154" s="551">
        <v>4316.13</v>
      </c>
      <c r="R154" s="551">
        <v>3453</v>
      </c>
      <c r="S154" s="552">
        <v>2601.65</v>
      </c>
    </row>
    <row r="155" spans="1:19" ht="15" customHeight="1" x14ac:dyDescent="0.25">
      <c r="A155" s="516"/>
      <c r="B155" s="762" t="s">
        <v>352</v>
      </c>
      <c r="C155" s="910"/>
      <c r="D155" s="873"/>
      <c r="E155" s="702">
        <v>29172.38</v>
      </c>
      <c r="F155" s="703">
        <v>73375.72</v>
      </c>
      <c r="G155" s="592">
        <f t="shared" si="10"/>
        <v>37310.460000000006</v>
      </c>
      <c r="H155" s="550">
        <v>2100</v>
      </c>
      <c r="I155" s="551">
        <v>1496</v>
      </c>
      <c r="J155" s="551">
        <v>1721.15</v>
      </c>
      <c r="K155" s="851">
        <v>1736</v>
      </c>
      <c r="L155" s="862">
        <v>0</v>
      </c>
      <c r="M155" s="551">
        <v>6774</v>
      </c>
      <c r="N155" s="551">
        <v>3737.75</v>
      </c>
      <c r="O155" s="551">
        <v>1971</v>
      </c>
      <c r="P155" s="551">
        <v>4295.5600000000004</v>
      </c>
      <c r="Q155" s="551">
        <v>6009</v>
      </c>
      <c r="R155" s="551">
        <v>2839</v>
      </c>
      <c r="S155" s="552">
        <v>4631</v>
      </c>
    </row>
    <row r="156" spans="1:19" ht="15" customHeight="1" x14ac:dyDescent="0.25">
      <c r="A156" s="516"/>
      <c r="B156" s="762" t="s">
        <v>353</v>
      </c>
      <c r="C156" s="910"/>
      <c r="D156" s="873"/>
      <c r="E156" s="702">
        <v>3307</v>
      </c>
      <c r="F156" s="703">
        <v>14835</v>
      </c>
      <c r="G156" s="592">
        <f t="shared" si="10"/>
        <v>9819.5</v>
      </c>
      <c r="H156" s="550">
        <v>426</v>
      </c>
      <c r="I156" s="551">
        <v>1150.5</v>
      </c>
      <c r="J156" s="551">
        <v>402.5</v>
      </c>
      <c r="K156" s="851">
        <v>879</v>
      </c>
      <c r="L156" s="551">
        <v>581.5</v>
      </c>
      <c r="M156" s="551">
        <v>491</v>
      </c>
      <c r="N156" s="551">
        <v>1049</v>
      </c>
      <c r="O156" s="551">
        <v>188</v>
      </c>
      <c r="P156" s="551">
        <v>1015</v>
      </c>
      <c r="Q156" s="551">
        <v>1126</v>
      </c>
      <c r="R156" s="551">
        <v>1375</v>
      </c>
      <c r="S156" s="552">
        <v>1136</v>
      </c>
    </row>
    <row r="157" spans="1:19" ht="15" customHeight="1" x14ac:dyDescent="0.25">
      <c r="A157" s="516"/>
      <c r="B157" s="761" t="s">
        <v>354</v>
      </c>
      <c r="C157" s="906"/>
      <c r="D157" s="872"/>
      <c r="E157" s="704">
        <v>0</v>
      </c>
      <c r="F157" s="705">
        <v>0</v>
      </c>
      <c r="G157" s="593">
        <f t="shared" si="10"/>
        <v>0</v>
      </c>
      <c r="H157" s="550">
        <v>0</v>
      </c>
      <c r="I157" s="551">
        <v>0</v>
      </c>
      <c r="J157" s="551">
        <v>0</v>
      </c>
      <c r="K157" s="551">
        <v>0</v>
      </c>
      <c r="L157" s="551">
        <v>0</v>
      </c>
      <c r="M157" s="551">
        <v>0</v>
      </c>
      <c r="N157" s="551">
        <v>0</v>
      </c>
      <c r="O157" s="551">
        <v>0</v>
      </c>
      <c r="P157" s="551">
        <v>0</v>
      </c>
      <c r="Q157" s="551">
        <v>0</v>
      </c>
      <c r="R157" s="551">
        <v>0</v>
      </c>
      <c r="S157" s="552">
        <v>0</v>
      </c>
    </row>
    <row r="158" spans="1:19" s="655" customFormat="1" ht="15.95" customHeight="1" x14ac:dyDescent="0.25">
      <c r="A158" s="654"/>
      <c r="B158" s="1060" t="s">
        <v>95</v>
      </c>
      <c r="C158" s="1061"/>
      <c r="D158" s="1061"/>
      <c r="E158" s="1061"/>
      <c r="F158" s="1061"/>
      <c r="G158" s="1061"/>
      <c r="H158" s="1061"/>
      <c r="I158" s="1061"/>
      <c r="J158" s="1061"/>
      <c r="K158" s="1061"/>
      <c r="L158" s="1061"/>
      <c r="M158" s="1061"/>
      <c r="N158" s="1061"/>
      <c r="O158" s="1061"/>
      <c r="P158" s="1061"/>
      <c r="Q158" s="1061"/>
      <c r="R158" s="1061"/>
      <c r="S158" s="1062"/>
    </row>
    <row r="159" spans="1:19" ht="15" customHeight="1" x14ac:dyDescent="0.25">
      <c r="A159" s="516"/>
      <c r="B159" s="536" t="s">
        <v>355</v>
      </c>
      <c r="C159" s="909"/>
      <c r="D159" s="871"/>
      <c r="E159" s="706">
        <v>117452</v>
      </c>
      <c r="F159" s="707">
        <v>115307</v>
      </c>
      <c r="G159" s="510">
        <f>SUM(H159:S159)</f>
        <v>108268</v>
      </c>
      <c r="H159" s="537">
        <v>9022</v>
      </c>
      <c r="I159" s="566">
        <f t="shared" ref="I159:N159" si="11">SUM(I160:I161)</f>
        <v>10046</v>
      </c>
      <c r="J159" s="566">
        <f t="shared" si="11"/>
        <v>8019</v>
      </c>
      <c r="K159" s="566">
        <f t="shared" si="11"/>
        <v>9639</v>
      </c>
      <c r="L159" s="566">
        <f t="shared" si="11"/>
        <v>7477</v>
      </c>
      <c r="M159" s="566">
        <f t="shared" si="11"/>
        <v>6737</v>
      </c>
      <c r="N159" s="566">
        <f t="shared" si="11"/>
        <v>10815</v>
      </c>
      <c r="O159" s="566">
        <f>SUM(O160:O161)</f>
        <v>8557</v>
      </c>
      <c r="P159" s="566">
        <f>SUM(P160:P161)</f>
        <v>9209</v>
      </c>
      <c r="Q159" s="566">
        <v>9149</v>
      </c>
      <c r="R159" s="566">
        <v>10291</v>
      </c>
      <c r="S159" s="749">
        <v>9307</v>
      </c>
    </row>
    <row r="160" spans="1:19" ht="15" customHeight="1" x14ac:dyDescent="0.25">
      <c r="A160" s="516"/>
      <c r="B160" s="763" t="s">
        <v>97</v>
      </c>
      <c r="C160" s="918"/>
      <c r="D160" s="871"/>
      <c r="E160" s="540">
        <v>111992</v>
      </c>
      <c r="F160" s="660">
        <v>109156</v>
      </c>
      <c r="G160" s="510">
        <f>SUM(H160:S160)</f>
        <v>102606</v>
      </c>
      <c r="H160" s="537">
        <v>8570</v>
      </c>
      <c r="I160" s="566">
        <v>9390</v>
      </c>
      <c r="J160" s="566">
        <v>7584</v>
      </c>
      <c r="K160" s="566">
        <v>9128</v>
      </c>
      <c r="L160" s="566">
        <v>7139</v>
      </c>
      <c r="M160" s="566">
        <v>6470</v>
      </c>
      <c r="N160" s="566">
        <v>10271</v>
      </c>
      <c r="O160" s="566">
        <v>7996</v>
      </c>
      <c r="P160" s="566">
        <v>8784</v>
      </c>
      <c r="Q160" s="566">
        <v>8713</v>
      </c>
      <c r="R160" s="566">
        <v>9569</v>
      </c>
      <c r="S160" s="594">
        <v>8992</v>
      </c>
    </row>
    <row r="161" spans="1:19" ht="15" customHeight="1" x14ac:dyDescent="0.25">
      <c r="A161" s="516"/>
      <c r="B161" s="762" t="s">
        <v>371</v>
      </c>
      <c r="C161" s="910"/>
      <c r="D161" s="873"/>
      <c r="E161" s="540">
        <v>5460</v>
      </c>
      <c r="F161" s="660">
        <v>6151</v>
      </c>
      <c r="G161" s="523">
        <f>SUM(H161:S161)</f>
        <v>5662</v>
      </c>
      <c r="H161" s="537">
        <v>452</v>
      </c>
      <c r="I161" s="566">
        <v>656</v>
      </c>
      <c r="J161" s="566">
        <v>435</v>
      </c>
      <c r="K161" s="566">
        <v>511</v>
      </c>
      <c r="L161" s="566">
        <v>338</v>
      </c>
      <c r="M161" s="566">
        <v>267</v>
      </c>
      <c r="N161" s="566">
        <v>544</v>
      </c>
      <c r="O161" s="566">
        <v>561</v>
      </c>
      <c r="P161" s="566">
        <v>425</v>
      </c>
      <c r="Q161" s="566">
        <v>436</v>
      </c>
      <c r="R161" s="566">
        <v>722</v>
      </c>
      <c r="S161" s="594">
        <v>315</v>
      </c>
    </row>
    <row r="162" spans="1:19" ht="15" customHeight="1" x14ac:dyDescent="0.25">
      <c r="A162" s="516"/>
      <c r="B162" s="534" t="s">
        <v>356</v>
      </c>
      <c r="C162" s="911"/>
      <c r="D162" s="873"/>
      <c r="E162" s="540">
        <v>191581</v>
      </c>
      <c r="F162" s="660">
        <v>176953</v>
      </c>
      <c r="G162" s="523">
        <f>SUM(H162:S162)</f>
        <v>178788</v>
      </c>
      <c r="H162" s="537">
        <v>15252</v>
      </c>
      <c r="I162" s="823">
        <v>14489</v>
      </c>
      <c r="J162" s="566">
        <v>12111</v>
      </c>
      <c r="K162" s="566">
        <v>16548</v>
      </c>
      <c r="L162" s="566">
        <v>17664</v>
      </c>
      <c r="M162" s="566">
        <v>9654</v>
      </c>
      <c r="N162" s="566">
        <v>15599</v>
      </c>
      <c r="O162" s="566">
        <v>13693</v>
      </c>
      <c r="P162" s="566">
        <v>15185</v>
      </c>
      <c r="Q162" s="566">
        <v>15824</v>
      </c>
      <c r="R162" s="566">
        <v>17530</v>
      </c>
      <c r="S162" s="948">
        <v>15239</v>
      </c>
    </row>
    <row r="163" spans="1:19" ht="15" customHeight="1" x14ac:dyDescent="0.25">
      <c r="A163" s="516"/>
      <c r="B163" s="762" t="s">
        <v>357</v>
      </c>
      <c r="C163" s="910"/>
      <c r="D163" s="873"/>
      <c r="E163" s="540">
        <v>188764</v>
      </c>
      <c r="F163" s="660">
        <v>171124</v>
      </c>
      <c r="G163" s="523">
        <f>SUM(H163:S163)</f>
        <v>173564</v>
      </c>
      <c r="H163" s="537">
        <v>14750</v>
      </c>
      <c r="I163" s="823">
        <v>13948</v>
      </c>
      <c r="J163" s="566">
        <v>11722</v>
      </c>
      <c r="K163" s="566">
        <v>16031</v>
      </c>
      <c r="L163" s="566">
        <v>17089</v>
      </c>
      <c r="M163" s="566">
        <v>9318</v>
      </c>
      <c r="N163" s="566">
        <v>15223</v>
      </c>
      <c r="O163" s="566">
        <v>13325</v>
      </c>
      <c r="P163" s="566">
        <v>14857</v>
      </c>
      <c r="Q163" s="566">
        <v>15432</v>
      </c>
      <c r="R163" s="566">
        <v>17010</v>
      </c>
      <c r="S163" s="948">
        <v>14859</v>
      </c>
    </row>
    <row r="164" spans="1:19" ht="15" customHeight="1" x14ac:dyDescent="0.25">
      <c r="A164" s="516"/>
      <c r="B164" s="761" t="s">
        <v>358</v>
      </c>
      <c r="C164" s="906"/>
      <c r="D164" s="872"/>
      <c r="E164" s="708">
        <v>0.98529999999999995</v>
      </c>
      <c r="F164" s="709">
        <v>0.96709999999999996</v>
      </c>
      <c r="G164" s="829">
        <f>SUM(H164:S164)/11</f>
        <v>1.0588233711014299</v>
      </c>
      <c r="H164" s="828">
        <f t="shared" ref="H164:M164" si="12">H163/H162</f>
        <v>0.96708628376606343</v>
      </c>
      <c r="I164" s="830">
        <f t="shared" si="12"/>
        <v>0.96266132928428461</v>
      </c>
      <c r="J164" s="827">
        <f t="shared" si="12"/>
        <v>0.96788043927008505</v>
      </c>
      <c r="K164" s="827">
        <f t="shared" si="12"/>
        <v>0.96875755378293449</v>
      </c>
      <c r="L164" s="827">
        <f t="shared" si="12"/>
        <v>0.96744791666666663</v>
      </c>
      <c r="M164" s="827">
        <f t="shared" si="12"/>
        <v>0.96519577377252952</v>
      </c>
      <c r="N164" s="596">
        <v>0.97589999999999999</v>
      </c>
      <c r="O164" s="596">
        <v>0.97309999999999997</v>
      </c>
      <c r="P164" s="596">
        <f>P163/P162</f>
        <v>0.9783997365821534</v>
      </c>
      <c r="Q164" s="596">
        <f>Q163/Q162</f>
        <v>0.97522750252780588</v>
      </c>
      <c r="R164" s="596">
        <f>R163/R162</f>
        <v>0.97033656588705075</v>
      </c>
      <c r="S164" s="596">
        <f>S163/S162</f>
        <v>0.97506398057615329</v>
      </c>
    </row>
    <row r="165" spans="1:19" s="655" customFormat="1" ht="15.95" customHeight="1" x14ac:dyDescent="0.25">
      <c r="A165" s="654"/>
      <c r="B165" s="1060" t="s">
        <v>359</v>
      </c>
      <c r="C165" s="1061"/>
      <c r="D165" s="1061"/>
      <c r="E165" s="1061"/>
      <c r="F165" s="1061"/>
      <c r="G165" s="1061"/>
      <c r="H165" s="1061"/>
      <c r="I165" s="1061"/>
      <c r="J165" s="1061"/>
      <c r="K165" s="1061"/>
      <c r="L165" s="1061"/>
      <c r="M165" s="1061"/>
      <c r="N165" s="1061"/>
      <c r="O165" s="1061"/>
      <c r="P165" s="1061"/>
      <c r="Q165" s="1061"/>
      <c r="R165" s="1061"/>
      <c r="S165" s="1062"/>
    </row>
    <row r="166" spans="1:19" ht="15" customHeight="1" x14ac:dyDescent="0.25">
      <c r="A166" s="516"/>
      <c r="B166" s="536" t="s">
        <v>360</v>
      </c>
      <c r="C166" s="909"/>
      <c r="D166" s="871"/>
      <c r="E166" s="686">
        <v>2893</v>
      </c>
      <c r="F166" s="697">
        <v>3277</v>
      </c>
      <c r="G166" s="529">
        <f>SUM(H166:S166)</f>
        <v>1943</v>
      </c>
      <c r="H166" s="511">
        <f>SUM(H167:H172)</f>
        <v>106</v>
      </c>
      <c r="I166" s="512">
        <v>207</v>
      </c>
      <c r="J166" s="512">
        <v>123</v>
      </c>
      <c r="K166" s="512">
        <v>170</v>
      </c>
      <c r="L166" s="512">
        <v>86</v>
      </c>
      <c r="M166" s="512">
        <v>117</v>
      </c>
      <c r="N166" s="512">
        <v>124</v>
      </c>
      <c r="O166" s="512">
        <v>133</v>
      </c>
      <c r="P166" s="512">
        <v>393</v>
      </c>
      <c r="Q166" s="512">
        <f>SUM(Q167:Q172)</f>
        <v>183</v>
      </c>
      <c r="R166" s="512">
        <v>203</v>
      </c>
      <c r="S166" s="512">
        <f>SUM(S167:S172)</f>
        <v>98</v>
      </c>
    </row>
    <row r="167" spans="1:19" ht="15" customHeight="1" x14ac:dyDescent="0.25">
      <c r="A167" s="516"/>
      <c r="B167" s="760" t="s">
        <v>361</v>
      </c>
      <c r="C167" s="905"/>
      <c r="D167" s="874"/>
      <c r="E167" s="519">
        <v>734</v>
      </c>
      <c r="F167" s="663">
        <v>1097</v>
      </c>
      <c r="G167" s="517">
        <f t="shared" ref="G167:G172" si="13">SUM(H167:S167)</f>
        <v>683</v>
      </c>
      <c r="H167" s="519">
        <v>26</v>
      </c>
      <c r="I167" s="520">
        <v>21</v>
      </c>
      <c r="J167" s="520">
        <v>2</v>
      </c>
      <c r="K167" s="520">
        <v>9</v>
      </c>
      <c r="L167" s="520">
        <v>4</v>
      </c>
      <c r="M167" s="520">
        <v>9</v>
      </c>
      <c r="N167" s="520">
        <v>10</v>
      </c>
      <c r="O167" s="520">
        <v>94</v>
      </c>
      <c r="P167" s="520">
        <v>331</v>
      </c>
      <c r="Q167" s="520">
        <v>73</v>
      </c>
      <c r="R167" s="520">
        <v>23</v>
      </c>
      <c r="S167" s="520">
        <v>81</v>
      </c>
    </row>
    <row r="168" spans="1:19" ht="15" customHeight="1" x14ac:dyDescent="0.25">
      <c r="A168" s="516"/>
      <c r="B168" s="760" t="s">
        <v>362</v>
      </c>
      <c r="C168" s="905"/>
      <c r="D168" s="874"/>
      <c r="E168" s="519">
        <v>0</v>
      </c>
      <c r="F168" s="663">
        <v>0</v>
      </c>
      <c r="G168" s="517">
        <f t="shared" si="13"/>
        <v>0</v>
      </c>
      <c r="H168" s="519">
        <v>0</v>
      </c>
      <c r="I168" s="520">
        <v>0</v>
      </c>
      <c r="J168" s="520">
        <v>0</v>
      </c>
      <c r="K168" s="520">
        <v>0</v>
      </c>
      <c r="L168" s="520">
        <v>0</v>
      </c>
      <c r="M168" s="520">
        <v>0</v>
      </c>
      <c r="N168" s="520">
        <v>0</v>
      </c>
      <c r="O168" s="520">
        <v>0</v>
      </c>
      <c r="P168" s="520">
        <v>0</v>
      </c>
      <c r="Q168" s="520">
        <v>0</v>
      </c>
      <c r="R168" s="520">
        <v>0</v>
      </c>
      <c r="S168" s="520">
        <v>0</v>
      </c>
    </row>
    <row r="169" spans="1:19" ht="15" customHeight="1" x14ac:dyDescent="0.25">
      <c r="A169" s="516"/>
      <c r="B169" s="760" t="s">
        <v>363</v>
      </c>
      <c r="C169" s="905"/>
      <c r="D169" s="874"/>
      <c r="E169" s="519">
        <v>159</v>
      </c>
      <c r="F169" s="663">
        <v>233</v>
      </c>
      <c r="G169" s="517">
        <f t="shared" si="13"/>
        <v>50</v>
      </c>
      <c r="H169" s="519">
        <v>0</v>
      </c>
      <c r="I169" s="520">
        <v>23</v>
      </c>
      <c r="J169" s="520">
        <v>0</v>
      </c>
      <c r="K169" s="520">
        <v>0</v>
      </c>
      <c r="L169" s="520">
        <v>0</v>
      </c>
      <c r="M169" s="520">
        <v>0</v>
      </c>
      <c r="N169" s="520">
        <v>15</v>
      </c>
      <c r="O169" s="520">
        <v>0</v>
      </c>
      <c r="P169" s="520">
        <v>12</v>
      </c>
      <c r="Q169" s="520">
        <v>0</v>
      </c>
      <c r="R169" s="520">
        <v>0</v>
      </c>
      <c r="S169" s="520">
        <v>0</v>
      </c>
    </row>
    <row r="170" spans="1:19" ht="15" customHeight="1" x14ac:dyDescent="0.25">
      <c r="A170" s="516"/>
      <c r="B170" s="760" t="s">
        <v>364</v>
      </c>
      <c r="C170" s="905"/>
      <c r="D170" s="874"/>
      <c r="E170" s="519">
        <v>604</v>
      </c>
      <c r="F170" s="663">
        <v>479</v>
      </c>
      <c r="G170" s="517">
        <f t="shared" si="13"/>
        <v>555</v>
      </c>
      <c r="H170" s="519">
        <v>43</v>
      </c>
      <c r="I170" s="520">
        <v>128</v>
      </c>
      <c r="J170" s="520">
        <v>109</v>
      </c>
      <c r="K170" s="520">
        <v>20</v>
      </c>
      <c r="L170" s="520">
        <v>31</v>
      </c>
      <c r="M170" s="520">
        <v>32</v>
      </c>
      <c r="N170" s="807">
        <v>12</v>
      </c>
      <c r="O170" s="520">
        <v>21</v>
      </c>
      <c r="P170" s="520">
        <v>1</v>
      </c>
      <c r="Q170" s="520">
        <v>38</v>
      </c>
      <c r="R170" s="520">
        <v>120</v>
      </c>
      <c r="S170" s="520">
        <v>0</v>
      </c>
    </row>
    <row r="171" spans="1:19" ht="15" customHeight="1" x14ac:dyDescent="0.25">
      <c r="A171" s="516"/>
      <c r="B171" s="762" t="s">
        <v>365</v>
      </c>
      <c r="C171" s="910"/>
      <c r="D171" s="873"/>
      <c r="E171" s="519">
        <v>1259</v>
      </c>
      <c r="F171" s="663">
        <v>1203</v>
      </c>
      <c r="G171" s="517">
        <f t="shared" si="13"/>
        <v>634</v>
      </c>
      <c r="H171" s="519">
        <v>37</v>
      </c>
      <c r="I171" s="520">
        <v>26</v>
      </c>
      <c r="J171" s="520">
        <v>12</v>
      </c>
      <c r="K171" s="520">
        <v>141</v>
      </c>
      <c r="L171" s="520">
        <v>51</v>
      </c>
      <c r="M171" s="520">
        <v>76</v>
      </c>
      <c r="N171" s="520">
        <v>87</v>
      </c>
      <c r="O171" s="520">
        <v>18</v>
      </c>
      <c r="P171" s="520">
        <v>37</v>
      </c>
      <c r="Q171" s="520">
        <v>72</v>
      </c>
      <c r="R171" s="520">
        <v>60</v>
      </c>
      <c r="S171" s="520">
        <v>17</v>
      </c>
    </row>
    <row r="172" spans="1:19" ht="15" customHeight="1" x14ac:dyDescent="0.25">
      <c r="A172" s="516"/>
      <c r="B172" s="761" t="s">
        <v>366</v>
      </c>
      <c r="C172" s="906"/>
      <c r="D172" s="872"/>
      <c r="E172" s="562">
        <v>137</v>
      </c>
      <c r="F172" s="672">
        <v>265</v>
      </c>
      <c r="G172" s="530">
        <f t="shared" si="13"/>
        <v>21</v>
      </c>
      <c r="H172" s="524">
        <v>0</v>
      </c>
      <c r="I172" s="525">
        <v>9</v>
      </c>
      <c r="J172" s="525">
        <v>0</v>
      </c>
      <c r="K172" s="525">
        <v>0</v>
      </c>
      <c r="L172" s="525">
        <v>0</v>
      </c>
      <c r="M172" s="525">
        <v>0</v>
      </c>
      <c r="N172" s="525">
        <v>0</v>
      </c>
      <c r="O172" s="525">
        <v>0</v>
      </c>
      <c r="P172" s="525">
        <v>12</v>
      </c>
      <c r="Q172" s="525">
        <v>0</v>
      </c>
      <c r="R172" s="525">
        <v>0</v>
      </c>
      <c r="S172" s="525">
        <v>0</v>
      </c>
    </row>
    <row r="173" spans="1:19" s="655" customFormat="1" ht="15.95" customHeight="1" x14ac:dyDescent="0.25">
      <c r="A173" s="654"/>
      <c r="B173" s="1041" t="s">
        <v>267</v>
      </c>
      <c r="C173" s="1042"/>
      <c r="D173" s="1042"/>
      <c r="E173" s="1042"/>
      <c r="F173" s="1042"/>
      <c r="G173" s="1042"/>
      <c r="H173" s="1042"/>
      <c r="I173" s="1042"/>
      <c r="J173" s="1042"/>
      <c r="K173" s="1042"/>
      <c r="L173" s="1042"/>
      <c r="M173" s="1042"/>
      <c r="N173" s="1042"/>
      <c r="O173" s="1042"/>
      <c r="P173" s="1042"/>
      <c r="Q173" s="1042"/>
      <c r="R173" s="1042"/>
      <c r="S173" s="1043"/>
    </row>
    <row r="174" spans="1:19" ht="15" customHeight="1" x14ac:dyDescent="0.2">
      <c r="A174" s="516"/>
      <c r="B174" s="536" t="s">
        <v>274</v>
      </c>
      <c r="E174" s="710">
        <v>17754100</v>
      </c>
      <c r="F174" s="711">
        <v>17327378</v>
      </c>
      <c r="G174" s="598">
        <f>SUM(H174:S174)</f>
        <v>17093278.73</v>
      </c>
      <c r="H174" s="545">
        <v>1388759.87</v>
      </c>
      <c r="I174" s="599">
        <v>1416303.42</v>
      </c>
      <c r="J174" s="837">
        <v>1324503.68</v>
      </c>
      <c r="K174" s="850">
        <v>1448886.34</v>
      </c>
      <c r="L174" s="863">
        <v>1349370.8799999999</v>
      </c>
      <c r="M174" s="600">
        <v>1323709</v>
      </c>
      <c r="N174" s="600">
        <v>1358862.31</v>
      </c>
      <c r="O174" s="600">
        <v>1335697.6000000001</v>
      </c>
      <c r="P174" s="600">
        <v>1613019.05</v>
      </c>
      <c r="Q174" s="601">
        <v>1575119.46</v>
      </c>
      <c r="R174" s="602">
        <v>1528893.64</v>
      </c>
      <c r="S174" s="603">
        <v>1430153.48</v>
      </c>
    </row>
    <row r="175" spans="1:19" s="655" customFormat="1" ht="15.95" customHeight="1" x14ac:dyDescent="0.25">
      <c r="A175" s="654"/>
      <c r="B175" s="1044" t="s">
        <v>268</v>
      </c>
      <c r="C175" s="1045"/>
      <c r="D175" s="1045"/>
      <c r="E175" s="1045"/>
      <c r="F175" s="1045"/>
      <c r="G175" s="1045"/>
      <c r="H175" s="1045"/>
      <c r="I175" s="1045"/>
      <c r="J175" s="1045"/>
      <c r="K175" s="1045"/>
      <c r="L175" s="1045"/>
      <c r="M175" s="1045"/>
      <c r="N175" s="1045"/>
      <c r="O175" s="1045"/>
      <c r="P175" s="1045"/>
      <c r="Q175" s="1045"/>
      <c r="R175" s="1045"/>
      <c r="S175" s="1046"/>
    </row>
    <row r="176" spans="1:19" ht="20.25" customHeight="1" x14ac:dyDescent="0.25">
      <c r="A176" s="516"/>
      <c r="B176" s="536" t="s">
        <v>367</v>
      </c>
      <c r="E176" s="712"/>
      <c r="F176" s="698"/>
      <c r="G176" s="506"/>
      <c r="H176" s="677">
        <v>115847</v>
      </c>
      <c r="I176" s="678">
        <v>115891</v>
      </c>
      <c r="J176" s="678">
        <v>115934</v>
      </c>
      <c r="K176" s="678">
        <v>114863</v>
      </c>
      <c r="L176" s="678">
        <v>115901</v>
      </c>
      <c r="M176" s="678">
        <v>115935</v>
      </c>
      <c r="N176" s="678">
        <v>115995</v>
      </c>
      <c r="O176" s="678">
        <v>116094</v>
      </c>
      <c r="P176" s="678">
        <v>116170</v>
      </c>
      <c r="Q176" s="678">
        <v>116334</v>
      </c>
      <c r="R176" s="679">
        <v>116570</v>
      </c>
      <c r="S176" s="949">
        <v>116423</v>
      </c>
    </row>
    <row r="177" spans="1:20" ht="23.25" customHeight="1" x14ac:dyDescent="0.2">
      <c r="A177" s="751"/>
      <c r="B177" s="752" t="s">
        <v>368</v>
      </c>
      <c r="C177" s="919"/>
      <c r="D177" s="882"/>
      <c r="E177" s="713"/>
      <c r="F177" s="699"/>
      <c r="G177" s="714"/>
      <c r="H177" s="826">
        <f>H176/S177</f>
        <v>0.37173341034527019</v>
      </c>
      <c r="I177" s="825">
        <f>I176/S177</f>
        <v>0.37187459889616226</v>
      </c>
      <c r="J177" s="825">
        <f>J176/S177</f>
        <v>0.37201257861635217</v>
      </c>
      <c r="K177" s="825">
        <f>K176/S177</f>
        <v>0.36857592093441149</v>
      </c>
      <c r="L177" s="825">
        <f>L176/S177</f>
        <v>0.37190668720318315</v>
      </c>
      <c r="M177" s="825">
        <f>M176/S177</f>
        <v>0.37201578744705427</v>
      </c>
      <c r="N177" s="825">
        <f>N176/S177</f>
        <v>0.3722083172891798</v>
      </c>
      <c r="O177" s="825">
        <f>O176/S177</f>
        <v>0.37252599152868693</v>
      </c>
      <c r="P177" s="825">
        <f>P176/S177</f>
        <v>0.37276986266204593</v>
      </c>
      <c r="Q177" s="825">
        <f>Q176/S177</f>
        <v>0.37329611089718906</v>
      </c>
      <c r="R177" s="825">
        <f>R176/S177</f>
        <v>0.37405339494288281</v>
      </c>
      <c r="S177" s="775">
        <v>311640</v>
      </c>
      <c r="T177" s="776">
        <v>42917</v>
      </c>
    </row>
    <row r="179" spans="1:20" ht="15" hidden="1" customHeight="1" x14ac:dyDescent="0.25">
      <c r="B179" s="604" t="s">
        <v>200</v>
      </c>
      <c r="C179" s="605"/>
      <c r="D179" s="883"/>
      <c r="E179" s="605"/>
      <c r="F179" s="605"/>
      <c r="G179" s="605"/>
      <c r="H179" s="605"/>
      <c r="I179" s="605"/>
      <c r="J179" s="605"/>
      <c r="K179" s="605"/>
      <c r="L179" s="605"/>
      <c r="M179" s="605"/>
      <c r="N179" s="605"/>
      <c r="O179" s="605"/>
      <c r="P179" s="605"/>
      <c r="Q179" s="605"/>
      <c r="R179" s="605"/>
      <c r="S179" s="606"/>
    </row>
    <row r="180" spans="1:20" hidden="1" x14ac:dyDescent="0.25">
      <c r="B180" s="753" t="s">
        <v>174</v>
      </c>
      <c r="C180" s="754"/>
      <c r="D180" s="884"/>
      <c r="E180" s="754"/>
      <c r="F180" s="754"/>
      <c r="G180" s="754"/>
      <c r="H180" s="754"/>
      <c r="I180" s="754"/>
      <c r="J180" s="754"/>
      <c r="K180" s="754"/>
      <c r="L180" s="754"/>
      <c r="M180" s="754"/>
      <c r="N180" s="754"/>
      <c r="O180" s="754"/>
      <c r="P180" s="754"/>
      <c r="Q180" s="754"/>
      <c r="R180" s="754"/>
      <c r="S180" s="755"/>
    </row>
    <row r="181" spans="1:20" ht="15" hidden="1" customHeight="1" x14ac:dyDescent="0.25">
      <c r="B181" s="756" t="s">
        <v>181</v>
      </c>
      <c r="C181" s="920"/>
      <c r="D181" s="885"/>
      <c r="E181" s="757"/>
      <c r="F181" s="757"/>
      <c r="G181" s="757"/>
      <c r="H181" s="757"/>
      <c r="I181" s="757"/>
      <c r="J181" s="757"/>
      <c r="K181" s="757"/>
      <c r="L181" s="757"/>
      <c r="M181" s="757"/>
      <c r="N181" s="757"/>
      <c r="O181" s="757"/>
      <c r="P181" s="757"/>
      <c r="Q181" s="757"/>
      <c r="R181" s="757"/>
      <c r="S181" s="758"/>
    </row>
    <row r="182" spans="1:20" ht="15" hidden="1" customHeight="1" x14ac:dyDescent="0.25">
      <c r="B182" s="509" t="s">
        <v>4</v>
      </c>
      <c r="C182" s="750"/>
      <c r="E182" s="607"/>
      <c r="F182" s="608" t="s">
        <v>214</v>
      </c>
      <c r="G182" s="609" t="e">
        <f>AVERAGE(H182:S182)</f>
        <v>#DIV/0!</v>
      </c>
      <c r="H182" s="511"/>
      <c r="I182" s="512"/>
      <c r="J182" s="512"/>
      <c r="K182" s="512"/>
      <c r="L182" s="512"/>
      <c r="M182" s="512"/>
      <c r="N182" s="512"/>
      <c r="O182" s="610"/>
      <c r="P182" s="610"/>
      <c r="Q182" s="610"/>
      <c r="R182" s="610"/>
      <c r="S182" s="611"/>
    </row>
    <row r="183" spans="1:20" ht="15" hidden="1" customHeight="1" x14ac:dyDescent="0.25">
      <c r="B183" s="522" t="s">
        <v>177</v>
      </c>
      <c r="C183" s="750"/>
      <c r="E183" s="607"/>
      <c r="F183" s="612" t="s">
        <v>215</v>
      </c>
      <c r="G183" s="613" t="e">
        <f>AVERAGE(H183:S183)</f>
        <v>#DIV/0!</v>
      </c>
      <c r="H183" s="614"/>
      <c r="I183" s="614"/>
      <c r="J183" s="614"/>
      <c r="K183" s="614"/>
      <c r="L183" s="614"/>
      <c r="M183" s="614"/>
      <c r="N183" s="614"/>
      <c r="O183" s="615"/>
      <c r="P183" s="615"/>
      <c r="Q183" s="615"/>
      <c r="R183" s="615"/>
      <c r="S183" s="616"/>
    </row>
    <row r="184" spans="1:20" ht="15" hidden="1" customHeight="1" x14ac:dyDescent="0.25">
      <c r="B184" s="522" t="s">
        <v>180</v>
      </c>
      <c r="C184" s="750"/>
      <c r="E184" s="607"/>
      <c r="F184" s="612" t="s">
        <v>216</v>
      </c>
      <c r="G184" s="613" t="e">
        <f>((ROUND(G182/G183,0)&amp;" : "&amp;"1"))</f>
        <v>#DIV/0!</v>
      </c>
      <c r="H184" s="614" t="e">
        <f>((ROUND(H182/H183,0)&amp;" : "&amp;"1"))</f>
        <v>#DIV/0!</v>
      </c>
      <c r="I184" s="614" t="e">
        <f t="shared" ref="I184:S184" si="14">((ROUND(I182/I183,0)&amp;" : "&amp;"1"))</f>
        <v>#DIV/0!</v>
      </c>
      <c r="J184" s="614" t="e">
        <f t="shared" si="14"/>
        <v>#DIV/0!</v>
      </c>
      <c r="K184" s="614" t="e">
        <f t="shared" si="14"/>
        <v>#DIV/0!</v>
      </c>
      <c r="L184" s="614" t="e">
        <f t="shared" si="14"/>
        <v>#DIV/0!</v>
      </c>
      <c r="M184" s="614" t="e">
        <f t="shared" si="14"/>
        <v>#DIV/0!</v>
      </c>
      <c r="N184" s="614" t="e">
        <f t="shared" si="14"/>
        <v>#DIV/0!</v>
      </c>
      <c r="O184" s="614" t="e">
        <f t="shared" si="14"/>
        <v>#DIV/0!</v>
      </c>
      <c r="P184" s="614" t="e">
        <f t="shared" si="14"/>
        <v>#DIV/0!</v>
      </c>
      <c r="Q184" s="614" t="e">
        <f t="shared" si="14"/>
        <v>#DIV/0!</v>
      </c>
      <c r="R184" s="614" t="e">
        <f t="shared" si="14"/>
        <v>#DIV/0!</v>
      </c>
      <c r="S184" s="616" t="e">
        <f t="shared" si="14"/>
        <v>#DIV/0!</v>
      </c>
    </row>
    <row r="185" spans="1:20" ht="15" hidden="1" customHeight="1" x14ac:dyDescent="0.25">
      <c r="B185" s="514" t="s">
        <v>179</v>
      </c>
      <c r="C185" s="750"/>
      <c r="E185" s="607"/>
      <c r="F185" s="617" t="s">
        <v>184</v>
      </c>
      <c r="G185" s="618" t="s">
        <v>184</v>
      </c>
      <c r="H185" s="619" t="s">
        <v>184</v>
      </c>
      <c r="I185" s="619" t="s">
        <v>184</v>
      </c>
      <c r="J185" s="619" t="s">
        <v>184</v>
      </c>
      <c r="K185" s="619" t="s">
        <v>184</v>
      </c>
      <c r="L185" s="619" t="s">
        <v>184</v>
      </c>
      <c r="M185" s="619" t="s">
        <v>184</v>
      </c>
      <c r="N185" s="619" t="s">
        <v>184</v>
      </c>
      <c r="O185" s="619" t="s">
        <v>184</v>
      </c>
      <c r="P185" s="619" t="s">
        <v>184</v>
      </c>
      <c r="Q185" s="619" t="s">
        <v>184</v>
      </c>
      <c r="R185" s="619" t="s">
        <v>184</v>
      </c>
      <c r="S185" s="620" t="s">
        <v>184</v>
      </c>
    </row>
    <row r="186" spans="1:20" ht="15" hidden="1" customHeight="1" x14ac:dyDescent="0.25">
      <c r="B186" s="756" t="s">
        <v>191</v>
      </c>
      <c r="C186" s="920"/>
      <c r="D186" s="885"/>
      <c r="E186" s="621"/>
      <c r="F186" s="622"/>
      <c r="G186" s="622"/>
      <c r="H186" s="622"/>
      <c r="I186" s="622"/>
      <c r="J186" s="622"/>
      <c r="K186" s="622"/>
      <c r="L186" s="622"/>
      <c r="M186" s="622"/>
      <c r="N186" s="622"/>
      <c r="O186" s="622"/>
      <c r="P186" s="622"/>
      <c r="Q186" s="622"/>
      <c r="R186" s="622"/>
      <c r="S186" s="623"/>
    </row>
    <row r="187" spans="1:20" ht="15" hidden="1" customHeight="1" x14ac:dyDescent="0.25">
      <c r="B187" s="509" t="s">
        <v>178</v>
      </c>
      <c r="C187" s="750"/>
      <c r="E187" s="607"/>
      <c r="F187" s="608" t="s">
        <v>217</v>
      </c>
      <c r="G187" s="624" t="e">
        <f>AVERAGE(H187:S187)</f>
        <v>#DIV/0!</v>
      </c>
      <c r="H187" s="625"/>
      <c r="I187" s="625"/>
      <c r="J187" s="625"/>
      <c r="K187" s="625"/>
      <c r="L187" s="625"/>
      <c r="M187" s="625"/>
      <c r="N187" s="625"/>
      <c r="O187" s="625"/>
      <c r="P187" s="625"/>
      <c r="Q187" s="610"/>
      <c r="R187" s="610"/>
      <c r="S187" s="611"/>
    </row>
    <row r="188" spans="1:20" ht="15" hidden="1" customHeight="1" x14ac:dyDescent="0.25">
      <c r="B188" s="522" t="s">
        <v>177</v>
      </c>
      <c r="C188" s="750"/>
      <c r="E188" s="607"/>
      <c r="F188" s="612" t="s">
        <v>218</v>
      </c>
      <c r="G188" s="626" t="e">
        <f>AVERAGE(H188:S188)</f>
        <v>#DIV/0!</v>
      </c>
      <c r="H188" s="627"/>
      <c r="I188" s="627"/>
      <c r="J188" s="627"/>
      <c r="K188" s="627"/>
      <c r="L188" s="627"/>
      <c r="M188" s="627"/>
      <c r="N188" s="627"/>
      <c r="O188" s="627"/>
      <c r="P188" s="627"/>
      <c r="Q188" s="615"/>
      <c r="R188" s="615"/>
      <c r="S188" s="616"/>
    </row>
    <row r="189" spans="1:20" ht="15" hidden="1" customHeight="1" x14ac:dyDescent="0.25">
      <c r="B189" s="522" t="s">
        <v>180</v>
      </c>
      <c r="C189" s="750"/>
      <c r="E189" s="607"/>
      <c r="F189" s="612" t="s">
        <v>219</v>
      </c>
      <c r="G189" s="626" t="e">
        <f>((ROUND(G187/G188,0)&amp;" : "&amp;"1"))</f>
        <v>#DIV/0!</v>
      </c>
      <c r="H189" s="627" t="s">
        <v>136</v>
      </c>
      <c r="I189" s="627" t="s">
        <v>136</v>
      </c>
      <c r="J189" s="615" t="e">
        <f t="shared" ref="J189:S189" si="15">((ROUND(J187/J188,0)&amp;" : "&amp;"1"))</f>
        <v>#DIV/0!</v>
      </c>
      <c r="K189" s="615" t="e">
        <f t="shared" si="15"/>
        <v>#DIV/0!</v>
      </c>
      <c r="L189" s="615" t="e">
        <f t="shared" si="15"/>
        <v>#DIV/0!</v>
      </c>
      <c r="M189" s="615" t="e">
        <f t="shared" si="15"/>
        <v>#DIV/0!</v>
      </c>
      <c r="N189" s="615" t="e">
        <f t="shared" si="15"/>
        <v>#DIV/0!</v>
      </c>
      <c r="O189" s="615" t="e">
        <f t="shared" si="15"/>
        <v>#DIV/0!</v>
      </c>
      <c r="P189" s="615" t="e">
        <f t="shared" si="15"/>
        <v>#DIV/0!</v>
      </c>
      <c r="Q189" s="615" t="e">
        <f t="shared" si="15"/>
        <v>#DIV/0!</v>
      </c>
      <c r="R189" s="615" t="e">
        <f t="shared" si="15"/>
        <v>#DIV/0!</v>
      </c>
      <c r="S189" s="616" t="e">
        <f t="shared" si="15"/>
        <v>#DIV/0!</v>
      </c>
    </row>
    <row r="190" spans="1:20" ht="15" hidden="1" customHeight="1" x14ac:dyDescent="0.25">
      <c r="B190" s="514" t="s">
        <v>179</v>
      </c>
      <c r="C190" s="750"/>
      <c r="E190" s="607"/>
      <c r="F190" s="617" t="s">
        <v>185</v>
      </c>
      <c r="G190" s="618" t="s">
        <v>185</v>
      </c>
      <c r="H190" s="619" t="s">
        <v>185</v>
      </c>
      <c r="I190" s="619" t="s">
        <v>185</v>
      </c>
      <c r="J190" s="628" t="s">
        <v>185</v>
      </c>
      <c r="K190" s="628" t="s">
        <v>185</v>
      </c>
      <c r="L190" s="628" t="s">
        <v>185</v>
      </c>
      <c r="M190" s="628" t="s">
        <v>185</v>
      </c>
      <c r="N190" s="628" t="s">
        <v>185</v>
      </c>
      <c r="O190" s="628" t="s">
        <v>185</v>
      </c>
      <c r="P190" s="628" t="s">
        <v>185</v>
      </c>
      <c r="Q190" s="628" t="s">
        <v>185</v>
      </c>
      <c r="R190" s="628" t="s">
        <v>185</v>
      </c>
      <c r="S190" s="620" t="s">
        <v>185</v>
      </c>
    </row>
    <row r="191" spans="1:20" ht="15" hidden="1" customHeight="1" x14ac:dyDescent="0.25">
      <c r="B191" s="756" t="s">
        <v>182</v>
      </c>
      <c r="C191" s="920"/>
      <c r="D191" s="885"/>
      <c r="E191" s="621"/>
      <c r="F191" s="622"/>
      <c r="G191" s="622"/>
      <c r="H191" s="622"/>
      <c r="I191" s="622"/>
      <c r="J191" s="622"/>
      <c r="K191" s="622"/>
      <c r="L191" s="622"/>
      <c r="M191" s="622"/>
      <c r="N191" s="622"/>
      <c r="O191" s="622"/>
      <c r="P191" s="622"/>
      <c r="Q191" s="622"/>
      <c r="R191" s="622"/>
      <c r="S191" s="623"/>
    </row>
    <row r="192" spans="1:20" ht="15" hidden="1" customHeight="1" x14ac:dyDescent="0.25">
      <c r="B192" s="509" t="s">
        <v>178</v>
      </c>
      <c r="C192" s="750"/>
      <c r="E192" s="607"/>
      <c r="F192" s="608" t="s">
        <v>220</v>
      </c>
      <c r="G192" s="609" t="e">
        <f>AVERAGE(H192:S192)</f>
        <v>#DIV/0!</v>
      </c>
      <c r="H192" s="629"/>
      <c r="I192" s="512"/>
      <c r="J192" s="512"/>
      <c r="K192" s="512"/>
      <c r="L192" s="512"/>
      <c r="M192" s="512"/>
      <c r="N192" s="512"/>
      <c r="O192" s="610"/>
      <c r="P192" s="610"/>
      <c r="Q192" s="610"/>
      <c r="R192" s="610"/>
      <c r="S192" s="611"/>
    </row>
    <row r="193" spans="2:19" ht="15" hidden="1" customHeight="1" x14ac:dyDescent="0.25">
      <c r="B193" s="522" t="s">
        <v>177</v>
      </c>
      <c r="C193" s="750"/>
      <c r="E193" s="607"/>
      <c r="F193" s="612" t="s">
        <v>221</v>
      </c>
      <c r="G193" s="613" t="e">
        <f>AVERAGE(H193:S193)</f>
        <v>#DIV/0!</v>
      </c>
      <c r="H193" s="630"/>
      <c r="I193" s="520"/>
      <c r="J193" s="615"/>
      <c r="K193" s="520"/>
      <c r="L193" s="520"/>
      <c r="M193" s="520"/>
      <c r="N193" s="520"/>
      <c r="O193" s="615"/>
      <c r="P193" s="615"/>
      <c r="Q193" s="615"/>
      <c r="R193" s="615"/>
      <c r="S193" s="616"/>
    </row>
    <row r="194" spans="2:19" ht="15" hidden="1" customHeight="1" x14ac:dyDescent="0.25">
      <c r="B194" s="522" t="s">
        <v>180</v>
      </c>
      <c r="C194" s="750"/>
      <c r="E194" s="607"/>
      <c r="F194" s="612" t="s">
        <v>222</v>
      </c>
      <c r="G194" s="613" t="e">
        <f>((ROUND(G192/G193,0)&amp;" : "&amp;"1"))</f>
        <v>#DIV/0!</v>
      </c>
      <c r="H194" s="614" t="e">
        <f>((ROUND(H192/H193,0)&amp;" : "&amp;"1"))</f>
        <v>#DIV/0!</v>
      </c>
      <c r="I194" s="614" t="e">
        <f t="shared" ref="I194:O194" si="16">((ROUND(I192/I193,0)&amp;" : "&amp;"1"))</f>
        <v>#DIV/0!</v>
      </c>
      <c r="J194" s="614" t="e">
        <f t="shared" si="16"/>
        <v>#DIV/0!</v>
      </c>
      <c r="K194" s="614" t="e">
        <f t="shared" si="16"/>
        <v>#DIV/0!</v>
      </c>
      <c r="L194" s="614" t="e">
        <f t="shared" si="16"/>
        <v>#DIV/0!</v>
      </c>
      <c r="M194" s="614" t="e">
        <f t="shared" si="16"/>
        <v>#DIV/0!</v>
      </c>
      <c r="N194" s="614" t="e">
        <f t="shared" si="16"/>
        <v>#DIV/0!</v>
      </c>
      <c r="O194" s="614" t="e">
        <f t="shared" si="16"/>
        <v>#DIV/0!</v>
      </c>
      <c r="P194" s="614" t="e">
        <f>((ROUND(P192/P193,0)&amp;" : "&amp;"1"))</f>
        <v>#DIV/0!</v>
      </c>
      <c r="Q194" s="614" t="e">
        <f>((ROUND(Q192/Q193,0)&amp;" : "&amp;"1"))</f>
        <v>#DIV/0!</v>
      </c>
      <c r="R194" s="614" t="e">
        <f>((ROUND(R192/R193,0)&amp;" : "&amp;"1"))</f>
        <v>#DIV/0!</v>
      </c>
      <c r="S194" s="631" t="e">
        <f>((ROUND(S192/S193,0)&amp;" : "&amp;"1"))</f>
        <v>#DIV/0!</v>
      </c>
    </row>
    <row r="195" spans="2:19" ht="15" hidden="1" customHeight="1" x14ac:dyDescent="0.25">
      <c r="B195" s="514" t="s">
        <v>179</v>
      </c>
      <c r="C195" s="750"/>
      <c r="E195" s="607"/>
      <c r="F195" s="617" t="s">
        <v>185</v>
      </c>
      <c r="G195" s="618" t="s">
        <v>185</v>
      </c>
      <c r="H195" s="619" t="s">
        <v>185</v>
      </c>
      <c r="I195" s="619" t="s">
        <v>185</v>
      </c>
      <c r="J195" s="619" t="s">
        <v>185</v>
      </c>
      <c r="K195" s="619" t="s">
        <v>185</v>
      </c>
      <c r="L195" s="619" t="s">
        <v>185</v>
      </c>
      <c r="M195" s="619" t="s">
        <v>185</v>
      </c>
      <c r="N195" s="619" t="s">
        <v>185</v>
      </c>
      <c r="O195" s="619" t="s">
        <v>185</v>
      </c>
      <c r="P195" s="619" t="s">
        <v>185</v>
      </c>
      <c r="Q195" s="619" t="s">
        <v>185</v>
      </c>
      <c r="R195" s="619" t="s">
        <v>185</v>
      </c>
      <c r="S195" s="632" t="s">
        <v>185</v>
      </c>
    </row>
    <row r="196" spans="2:19" hidden="1" x14ac:dyDescent="0.25">
      <c r="B196" s="753" t="s">
        <v>183</v>
      </c>
      <c r="C196" s="754"/>
      <c r="D196" s="884"/>
      <c r="E196" s="633"/>
      <c r="F196" s="634"/>
      <c r="G196" s="634"/>
      <c r="H196" s="634"/>
      <c r="I196" s="634"/>
      <c r="J196" s="634"/>
      <c r="K196" s="634"/>
      <c r="L196" s="634"/>
      <c r="M196" s="634"/>
      <c r="N196" s="634"/>
      <c r="O196" s="634"/>
      <c r="P196" s="634"/>
      <c r="Q196" s="634"/>
      <c r="R196" s="634"/>
      <c r="S196" s="635"/>
    </row>
    <row r="197" spans="2:19" ht="15" hidden="1" customHeight="1" x14ac:dyDescent="0.25">
      <c r="B197" s="756" t="s">
        <v>175</v>
      </c>
      <c r="C197" s="920"/>
      <c r="D197" s="885"/>
      <c r="E197" s="621"/>
      <c r="F197" s="622"/>
      <c r="G197" s="622"/>
      <c r="H197" s="622"/>
      <c r="I197" s="622"/>
      <c r="J197" s="622"/>
      <c r="K197" s="622"/>
      <c r="L197" s="622"/>
      <c r="M197" s="622"/>
      <c r="N197" s="622"/>
      <c r="O197" s="622"/>
      <c r="P197" s="622"/>
      <c r="Q197" s="622"/>
      <c r="R197" s="622"/>
      <c r="S197" s="623"/>
    </row>
    <row r="198" spans="2:19" ht="15" hidden="1" customHeight="1" x14ac:dyDescent="0.25">
      <c r="B198" s="509" t="s">
        <v>178</v>
      </c>
      <c r="C198" s="750"/>
      <c r="E198" s="607"/>
      <c r="F198" s="608" t="s">
        <v>223</v>
      </c>
      <c r="G198" s="609" t="e">
        <f>AVERAGE(H198:S198)</f>
        <v>#DIV/0!</v>
      </c>
      <c r="H198" s="629"/>
      <c r="I198" s="512"/>
      <c r="J198" s="512"/>
      <c r="K198" s="512"/>
      <c r="L198" s="512"/>
      <c r="M198" s="512"/>
      <c r="N198" s="512"/>
      <c r="O198" s="610"/>
      <c r="P198" s="610"/>
      <c r="Q198" s="610"/>
      <c r="R198" s="610"/>
      <c r="S198" s="611"/>
    </row>
    <row r="199" spans="2:19" ht="15" hidden="1" customHeight="1" x14ac:dyDescent="0.25">
      <c r="B199" s="522" t="s">
        <v>177</v>
      </c>
      <c r="C199" s="750"/>
      <c r="E199" s="607"/>
      <c r="F199" s="612" t="s">
        <v>224</v>
      </c>
      <c r="G199" s="613" t="e">
        <f>AVERAGE(H199:S199)</f>
        <v>#DIV/0!</v>
      </c>
      <c r="H199" s="614"/>
      <c r="I199" s="615"/>
      <c r="J199" s="615"/>
      <c r="K199" s="615"/>
      <c r="L199" s="615"/>
      <c r="M199" s="615"/>
      <c r="N199" s="615"/>
      <c r="O199" s="615"/>
      <c r="P199" s="615"/>
      <c r="Q199" s="615"/>
      <c r="R199" s="615"/>
      <c r="S199" s="616"/>
    </row>
    <row r="200" spans="2:19" ht="15" hidden="1" customHeight="1" x14ac:dyDescent="0.25">
      <c r="B200" s="522" t="s">
        <v>180</v>
      </c>
      <c r="C200" s="750"/>
      <c r="E200" s="607"/>
      <c r="F200" s="612" t="s">
        <v>225</v>
      </c>
      <c r="G200" s="613" t="e">
        <f>((ROUND(G198/G199,0)&amp;" : "&amp;"1"))</f>
        <v>#DIV/0!</v>
      </c>
      <c r="H200" s="614" t="e">
        <f>((ROUND(H198/H199,0)&amp;" : "&amp;"1"))</f>
        <v>#DIV/0!</v>
      </c>
      <c r="I200" s="614" t="e">
        <f t="shared" ref="I200:S200" si="17">((ROUND(I198/I199,0)&amp;" : "&amp;"1"))</f>
        <v>#DIV/0!</v>
      </c>
      <c r="J200" s="614" t="e">
        <f t="shared" si="17"/>
        <v>#DIV/0!</v>
      </c>
      <c r="K200" s="614" t="e">
        <f t="shared" si="17"/>
        <v>#DIV/0!</v>
      </c>
      <c r="L200" s="614" t="e">
        <f t="shared" si="17"/>
        <v>#DIV/0!</v>
      </c>
      <c r="M200" s="614" t="e">
        <f t="shared" si="17"/>
        <v>#DIV/0!</v>
      </c>
      <c r="N200" s="614" t="e">
        <f t="shared" si="17"/>
        <v>#DIV/0!</v>
      </c>
      <c r="O200" s="614" t="e">
        <f t="shared" si="17"/>
        <v>#DIV/0!</v>
      </c>
      <c r="P200" s="614" t="e">
        <f t="shared" si="17"/>
        <v>#DIV/0!</v>
      </c>
      <c r="Q200" s="614" t="e">
        <f t="shared" si="17"/>
        <v>#DIV/0!</v>
      </c>
      <c r="R200" s="614" t="e">
        <f t="shared" si="17"/>
        <v>#DIV/0!</v>
      </c>
      <c r="S200" s="631" t="e">
        <f t="shared" si="17"/>
        <v>#DIV/0!</v>
      </c>
    </row>
    <row r="201" spans="2:19" ht="15" hidden="1" customHeight="1" x14ac:dyDescent="0.25">
      <c r="B201" s="514" t="s">
        <v>179</v>
      </c>
      <c r="C201" s="750"/>
      <c r="E201" s="607"/>
      <c r="F201" s="617" t="s">
        <v>186</v>
      </c>
      <c r="G201" s="618" t="s">
        <v>186</v>
      </c>
      <c r="H201" s="619" t="s">
        <v>186</v>
      </c>
      <c r="I201" s="619" t="s">
        <v>186</v>
      </c>
      <c r="J201" s="619" t="s">
        <v>186</v>
      </c>
      <c r="K201" s="619" t="s">
        <v>186</v>
      </c>
      <c r="L201" s="619" t="s">
        <v>186</v>
      </c>
      <c r="M201" s="619" t="s">
        <v>186</v>
      </c>
      <c r="N201" s="619" t="s">
        <v>186</v>
      </c>
      <c r="O201" s="619" t="s">
        <v>186</v>
      </c>
      <c r="P201" s="619" t="s">
        <v>186</v>
      </c>
      <c r="Q201" s="619" t="s">
        <v>186</v>
      </c>
      <c r="R201" s="619" t="s">
        <v>186</v>
      </c>
      <c r="S201" s="632" t="s">
        <v>186</v>
      </c>
    </row>
    <row r="202" spans="2:19" ht="15" hidden="1" customHeight="1" x14ac:dyDescent="0.25">
      <c r="B202" s="756" t="s">
        <v>176</v>
      </c>
      <c r="C202" s="920"/>
      <c r="D202" s="885"/>
      <c r="E202" s="621"/>
      <c r="F202" s="622"/>
      <c r="G202" s="622"/>
      <c r="H202" s="622"/>
      <c r="I202" s="622"/>
      <c r="J202" s="622"/>
      <c r="K202" s="622"/>
      <c r="L202" s="622"/>
      <c r="M202" s="622"/>
      <c r="N202" s="622"/>
      <c r="O202" s="622"/>
      <c r="P202" s="622"/>
      <c r="Q202" s="622"/>
      <c r="R202" s="622"/>
      <c r="S202" s="623"/>
    </row>
    <row r="203" spans="2:19" ht="15" hidden="1" customHeight="1" x14ac:dyDescent="0.25">
      <c r="B203" s="509" t="s">
        <v>178</v>
      </c>
      <c r="C203" s="750"/>
      <c r="E203" s="607"/>
      <c r="F203" s="608" t="s">
        <v>226</v>
      </c>
      <c r="G203" s="609" t="e">
        <f>AVERAGE(H203:S203)</f>
        <v>#DIV/0!</v>
      </c>
      <c r="H203" s="636"/>
      <c r="I203" s="610"/>
      <c r="J203" s="610"/>
      <c r="K203" s="610"/>
      <c r="L203" s="610"/>
      <c r="M203" s="610"/>
      <c r="N203" s="610"/>
      <c r="O203" s="610"/>
      <c r="P203" s="610"/>
      <c r="Q203" s="610"/>
      <c r="R203" s="610"/>
      <c r="S203" s="611"/>
    </row>
    <row r="204" spans="2:19" ht="15" hidden="1" customHeight="1" x14ac:dyDescent="0.25">
      <c r="B204" s="522" t="s">
        <v>177</v>
      </c>
      <c r="C204" s="750"/>
      <c r="E204" s="607"/>
      <c r="F204" s="612" t="s">
        <v>227</v>
      </c>
      <c r="G204" s="613" t="e">
        <f>AVERAGE(H204:S204)</f>
        <v>#DIV/0!</v>
      </c>
      <c r="H204" s="614"/>
      <c r="I204" s="615"/>
      <c r="J204" s="615"/>
      <c r="K204" s="615"/>
      <c r="L204" s="615"/>
      <c r="M204" s="615"/>
      <c r="N204" s="615"/>
      <c r="O204" s="615"/>
      <c r="P204" s="615"/>
      <c r="Q204" s="615"/>
      <c r="R204" s="615"/>
      <c r="S204" s="616"/>
    </row>
    <row r="205" spans="2:19" ht="15" hidden="1" customHeight="1" x14ac:dyDescent="0.25">
      <c r="B205" s="522" t="s">
        <v>180</v>
      </c>
      <c r="C205" s="750"/>
      <c r="E205" s="607"/>
      <c r="F205" s="612" t="s">
        <v>222</v>
      </c>
      <c r="G205" s="613" t="e">
        <f>((ROUND(G203/G204,0)&amp;" : "&amp;"1"))</f>
        <v>#DIV/0!</v>
      </c>
      <c r="H205" s="614" t="e">
        <f>((ROUND(H203/H204,0)&amp;" : "&amp;"1"))</f>
        <v>#DIV/0!</v>
      </c>
      <c r="I205" s="614" t="e">
        <f t="shared" ref="I205:S205" si="18">((ROUND(I203/I204,0)&amp;" : "&amp;"1"))</f>
        <v>#DIV/0!</v>
      </c>
      <c r="J205" s="614" t="e">
        <f t="shared" si="18"/>
        <v>#DIV/0!</v>
      </c>
      <c r="K205" s="614" t="e">
        <f t="shared" si="18"/>
        <v>#DIV/0!</v>
      </c>
      <c r="L205" s="614" t="e">
        <f t="shared" si="18"/>
        <v>#DIV/0!</v>
      </c>
      <c r="M205" s="614" t="e">
        <f t="shared" si="18"/>
        <v>#DIV/0!</v>
      </c>
      <c r="N205" s="614" t="e">
        <f t="shared" si="18"/>
        <v>#DIV/0!</v>
      </c>
      <c r="O205" s="614" t="e">
        <f t="shared" si="18"/>
        <v>#DIV/0!</v>
      </c>
      <c r="P205" s="614" t="e">
        <f t="shared" si="18"/>
        <v>#DIV/0!</v>
      </c>
      <c r="Q205" s="614" t="e">
        <f t="shared" si="18"/>
        <v>#DIV/0!</v>
      </c>
      <c r="R205" s="614" t="e">
        <f t="shared" si="18"/>
        <v>#DIV/0!</v>
      </c>
      <c r="S205" s="631" t="e">
        <f t="shared" si="18"/>
        <v>#DIV/0!</v>
      </c>
    </row>
    <row r="206" spans="2:19" ht="15" hidden="1" customHeight="1" x14ac:dyDescent="0.25">
      <c r="B206" s="759" t="s">
        <v>179</v>
      </c>
      <c r="C206" s="914"/>
      <c r="D206" s="880"/>
      <c r="E206" s="637"/>
      <c r="F206" s="638" t="s">
        <v>186</v>
      </c>
      <c r="G206" s="639" t="s">
        <v>186</v>
      </c>
      <c r="H206" s="640" t="s">
        <v>186</v>
      </c>
      <c r="I206" s="640" t="s">
        <v>186</v>
      </c>
      <c r="J206" s="640" t="s">
        <v>186</v>
      </c>
      <c r="K206" s="640" t="s">
        <v>186</v>
      </c>
      <c r="L206" s="640" t="s">
        <v>186</v>
      </c>
      <c r="M206" s="640" t="s">
        <v>186</v>
      </c>
      <c r="N206" s="640" t="s">
        <v>186</v>
      </c>
      <c r="O206" s="640" t="s">
        <v>186</v>
      </c>
      <c r="P206" s="640" t="s">
        <v>186</v>
      </c>
      <c r="Q206" s="640" t="s">
        <v>186</v>
      </c>
      <c r="R206" s="640" t="s">
        <v>186</v>
      </c>
      <c r="S206" s="641" t="s">
        <v>186</v>
      </c>
    </row>
    <row r="207" spans="2:19" hidden="1" x14ac:dyDescent="0.25">
      <c r="B207" s="753" t="s">
        <v>43</v>
      </c>
      <c r="C207" s="754"/>
      <c r="D207" s="884"/>
      <c r="E207" s="633"/>
      <c r="F207" s="634"/>
      <c r="G207" s="633"/>
      <c r="H207" s="633"/>
      <c r="I207" s="633"/>
      <c r="J207" s="633"/>
      <c r="K207" s="633"/>
      <c r="L207" s="633"/>
      <c r="M207" s="633"/>
      <c r="N207" s="633"/>
      <c r="O207" s="633"/>
      <c r="P207" s="633"/>
      <c r="Q207" s="633"/>
      <c r="R207" s="633"/>
      <c r="S207" s="642"/>
    </row>
    <row r="208" spans="2:19" ht="15" hidden="1" customHeight="1" x14ac:dyDescent="0.25">
      <c r="B208" s="756" t="s">
        <v>44</v>
      </c>
      <c r="C208" s="920"/>
      <c r="D208" s="885"/>
      <c r="E208" s="621"/>
      <c r="F208" s="622"/>
      <c r="G208" s="621"/>
      <c r="H208" s="621"/>
      <c r="I208" s="621"/>
      <c r="J208" s="621"/>
      <c r="K208" s="621"/>
      <c r="L208" s="621"/>
      <c r="M208" s="621"/>
      <c r="N208" s="621"/>
      <c r="O208" s="621"/>
      <c r="P208" s="621"/>
      <c r="Q208" s="621"/>
      <c r="R208" s="621"/>
      <c r="S208" s="643"/>
    </row>
    <row r="209" spans="2:19" ht="15" hidden="1" customHeight="1" x14ac:dyDescent="0.25">
      <c r="B209" s="509" t="s">
        <v>178</v>
      </c>
      <c r="C209" s="750"/>
      <c r="E209" s="607"/>
      <c r="F209" s="608" t="s">
        <v>228</v>
      </c>
      <c r="G209" s="609" t="e">
        <f>AVERAGE(H209:S209)</f>
        <v>#DIV/0!</v>
      </c>
      <c r="H209" s="636"/>
      <c r="I209" s="610"/>
      <c r="J209" s="610"/>
      <c r="K209" s="610"/>
      <c r="L209" s="610"/>
      <c r="M209" s="610"/>
      <c r="N209" s="610"/>
      <c r="O209" s="610"/>
      <c r="P209" s="610"/>
      <c r="Q209" s="610"/>
      <c r="R209" s="610"/>
      <c r="S209" s="611"/>
    </row>
    <row r="210" spans="2:19" ht="15" hidden="1" customHeight="1" x14ac:dyDescent="0.25">
      <c r="B210" s="522" t="s">
        <v>177</v>
      </c>
      <c r="C210" s="750"/>
      <c r="E210" s="607"/>
      <c r="F210" s="612" t="s">
        <v>210</v>
      </c>
      <c r="G210" s="613" t="e">
        <f>AVERAGE(H210:S210)</f>
        <v>#DIV/0!</v>
      </c>
      <c r="H210" s="614"/>
      <c r="I210" s="615"/>
      <c r="J210" s="615"/>
      <c r="K210" s="615"/>
      <c r="L210" s="615"/>
      <c r="M210" s="615"/>
      <c r="N210" s="615"/>
      <c r="O210" s="615"/>
      <c r="P210" s="615"/>
      <c r="Q210" s="615"/>
      <c r="R210" s="615"/>
      <c r="S210" s="616"/>
    </row>
    <row r="211" spans="2:19" ht="15" hidden="1" customHeight="1" x14ac:dyDescent="0.25">
      <c r="B211" s="522" t="s">
        <v>180</v>
      </c>
      <c r="C211" s="750"/>
      <c r="E211" s="607"/>
      <c r="F211" s="612" t="s">
        <v>229</v>
      </c>
      <c r="G211" s="613" t="e">
        <f>((ROUND(G209/G210,0)&amp;" : "&amp;"1"))</f>
        <v>#DIV/0!</v>
      </c>
      <c r="H211" s="614" t="e">
        <f>((ROUND(H209/H210,0)&amp;" : "&amp;"1"))</f>
        <v>#DIV/0!</v>
      </c>
      <c r="I211" s="614" t="e">
        <f t="shared" ref="I211:S211" si="19">((ROUND(I209/I210,0)&amp;" : "&amp;"1"))</f>
        <v>#DIV/0!</v>
      </c>
      <c r="J211" s="614" t="e">
        <f t="shared" si="19"/>
        <v>#DIV/0!</v>
      </c>
      <c r="K211" s="614" t="e">
        <f t="shared" si="19"/>
        <v>#DIV/0!</v>
      </c>
      <c r="L211" s="614" t="e">
        <f t="shared" si="19"/>
        <v>#DIV/0!</v>
      </c>
      <c r="M211" s="614" t="e">
        <f t="shared" si="19"/>
        <v>#DIV/0!</v>
      </c>
      <c r="N211" s="614" t="e">
        <f t="shared" si="19"/>
        <v>#DIV/0!</v>
      </c>
      <c r="O211" s="614" t="e">
        <f t="shared" si="19"/>
        <v>#DIV/0!</v>
      </c>
      <c r="P211" s="614" t="e">
        <f t="shared" si="19"/>
        <v>#DIV/0!</v>
      </c>
      <c r="Q211" s="614" t="e">
        <f t="shared" si="19"/>
        <v>#DIV/0!</v>
      </c>
      <c r="R211" s="614" t="e">
        <f t="shared" si="19"/>
        <v>#DIV/0!</v>
      </c>
      <c r="S211" s="616" t="e">
        <f t="shared" si="19"/>
        <v>#DIV/0!</v>
      </c>
    </row>
    <row r="212" spans="2:19" ht="15" hidden="1" customHeight="1" x14ac:dyDescent="0.25">
      <c r="B212" s="514" t="s">
        <v>179</v>
      </c>
      <c r="C212" s="750"/>
      <c r="E212" s="607"/>
      <c r="F212" s="617" t="s">
        <v>187</v>
      </c>
      <c r="G212" s="644" t="s">
        <v>187</v>
      </c>
      <c r="H212" s="645" t="s">
        <v>187</v>
      </c>
      <c r="I212" s="645" t="s">
        <v>187</v>
      </c>
      <c r="J212" s="645" t="s">
        <v>187</v>
      </c>
      <c r="K212" s="645" t="s">
        <v>187</v>
      </c>
      <c r="L212" s="645" t="s">
        <v>187</v>
      </c>
      <c r="M212" s="645" t="s">
        <v>187</v>
      </c>
      <c r="N212" s="645" t="s">
        <v>187</v>
      </c>
      <c r="O212" s="645" t="s">
        <v>187</v>
      </c>
      <c r="P212" s="645" t="s">
        <v>187</v>
      </c>
      <c r="Q212" s="645" t="s">
        <v>187</v>
      </c>
      <c r="R212" s="645" t="s">
        <v>187</v>
      </c>
      <c r="S212" s="646" t="s">
        <v>187</v>
      </c>
    </row>
    <row r="213" spans="2:19" ht="15" hidden="1" customHeight="1" x14ac:dyDescent="0.25">
      <c r="B213" s="756" t="s">
        <v>114</v>
      </c>
      <c r="C213" s="920"/>
      <c r="D213" s="885"/>
      <c r="E213" s="621"/>
      <c r="F213" s="622"/>
      <c r="G213" s="621"/>
      <c r="H213" s="621"/>
      <c r="I213" s="621"/>
      <c r="J213" s="621"/>
      <c r="K213" s="621"/>
      <c r="L213" s="621"/>
      <c r="M213" s="621"/>
      <c r="N213" s="621"/>
      <c r="O213" s="621"/>
      <c r="P213" s="621"/>
      <c r="Q213" s="621"/>
      <c r="R213" s="621"/>
      <c r="S213" s="643"/>
    </row>
    <row r="214" spans="2:19" ht="15" hidden="1" customHeight="1" x14ac:dyDescent="0.25">
      <c r="B214" s="509" t="s">
        <v>178</v>
      </c>
      <c r="C214" s="750"/>
      <c r="E214" s="607"/>
      <c r="F214" s="608" t="s">
        <v>230</v>
      </c>
      <c r="G214" s="609" t="e">
        <f>AVERAGE(H214:S214)</f>
        <v>#DIV/0!</v>
      </c>
      <c r="H214" s="636"/>
      <c r="I214" s="610"/>
      <c r="J214" s="610"/>
      <c r="K214" s="610"/>
      <c r="L214" s="610"/>
      <c r="M214" s="610"/>
      <c r="N214" s="610"/>
      <c r="O214" s="610"/>
      <c r="P214" s="610"/>
      <c r="Q214" s="610"/>
      <c r="R214" s="610"/>
      <c r="S214" s="611"/>
    </row>
    <row r="215" spans="2:19" ht="15" hidden="1" customHeight="1" x14ac:dyDescent="0.25">
      <c r="B215" s="522" t="s">
        <v>177</v>
      </c>
      <c r="C215" s="750"/>
      <c r="E215" s="607"/>
      <c r="F215" s="612" t="s">
        <v>231</v>
      </c>
      <c r="G215" s="613" t="e">
        <f>AVERAGE(H215:S215)</f>
        <v>#DIV/0!</v>
      </c>
      <c r="H215" s="614"/>
      <c r="I215" s="615"/>
      <c r="J215" s="615"/>
      <c r="K215" s="615"/>
      <c r="L215" s="615"/>
      <c r="M215" s="615"/>
      <c r="N215" s="615"/>
      <c r="O215" s="615"/>
      <c r="P215" s="615"/>
      <c r="Q215" s="615"/>
      <c r="R215" s="615"/>
      <c r="S215" s="616"/>
    </row>
    <row r="216" spans="2:19" ht="15" hidden="1" customHeight="1" x14ac:dyDescent="0.25">
      <c r="B216" s="522" t="s">
        <v>180</v>
      </c>
      <c r="C216" s="750"/>
      <c r="E216" s="607"/>
      <c r="F216" s="612" t="s">
        <v>187</v>
      </c>
      <c r="G216" s="613" t="e">
        <f>((ROUND(G214/G215,0)&amp;" : "&amp;"1"))</f>
        <v>#DIV/0!</v>
      </c>
      <c r="H216" s="614" t="e">
        <f>((ROUND(H214/H215,0)&amp;" : "&amp;"1"))</f>
        <v>#DIV/0!</v>
      </c>
      <c r="I216" s="614" t="e">
        <f t="shared" ref="I216:S216" si="20">((ROUND(I214/I215,0)&amp;" : "&amp;"1"))</f>
        <v>#DIV/0!</v>
      </c>
      <c r="J216" s="614" t="e">
        <f t="shared" si="20"/>
        <v>#DIV/0!</v>
      </c>
      <c r="K216" s="614" t="e">
        <f t="shared" si="20"/>
        <v>#DIV/0!</v>
      </c>
      <c r="L216" s="614" t="e">
        <f t="shared" si="20"/>
        <v>#DIV/0!</v>
      </c>
      <c r="M216" s="614" t="e">
        <f t="shared" si="20"/>
        <v>#DIV/0!</v>
      </c>
      <c r="N216" s="614" t="e">
        <f t="shared" si="20"/>
        <v>#DIV/0!</v>
      </c>
      <c r="O216" s="614" t="e">
        <f t="shared" si="20"/>
        <v>#DIV/0!</v>
      </c>
      <c r="P216" s="614" t="e">
        <f t="shared" si="20"/>
        <v>#DIV/0!</v>
      </c>
      <c r="Q216" s="614" t="e">
        <f t="shared" si="20"/>
        <v>#DIV/0!</v>
      </c>
      <c r="R216" s="614" t="e">
        <f t="shared" si="20"/>
        <v>#DIV/0!</v>
      </c>
      <c r="S216" s="616" t="e">
        <f t="shared" si="20"/>
        <v>#DIV/0!</v>
      </c>
    </row>
    <row r="217" spans="2:19" ht="15" hidden="1" customHeight="1" x14ac:dyDescent="0.25">
      <c r="B217" s="514" t="s">
        <v>179</v>
      </c>
      <c r="C217" s="750"/>
      <c r="E217" s="607"/>
      <c r="F217" s="617" t="s">
        <v>188</v>
      </c>
      <c r="G217" s="644" t="s">
        <v>188</v>
      </c>
      <c r="H217" s="645" t="s">
        <v>188</v>
      </c>
      <c r="I217" s="645" t="s">
        <v>188</v>
      </c>
      <c r="J217" s="645" t="s">
        <v>188</v>
      </c>
      <c r="K217" s="645" t="s">
        <v>188</v>
      </c>
      <c r="L217" s="645" t="s">
        <v>188</v>
      </c>
      <c r="M217" s="645" t="s">
        <v>188</v>
      </c>
      <c r="N217" s="645" t="s">
        <v>188</v>
      </c>
      <c r="O217" s="645" t="s">
        <v>188</v>
      </c>
      <c r="P217" s="645" t="s">
        <v>188</v>
      </c>
      <c r="Q217" s="645" t="s">
        <v>188</v>
      </c>
      <c r="R217" s="645" t="s">
        <v>188</v>
      </c>
      <c r="S217" s="646" t="s">
        <v>188</v>
      </c>
    </row>
    <row r="218" spans="2:19" ht="15" hidden="1" customHeight="1" x14ac:dyDescent="0.25">
      <c r="B218" s="756" t="s">
        <v>203</v>
      </c>
      <c r="C218" s="920"/>
      <c r="D218" s="885"/>
      <c r="E218" s="621"/>
      <c r="F218" s="622"/>
      <c r="G218" s="621"/>
      <c r="H218" s="621"/>
      <c r="I218" s="621"/>
      <c r="J218" s="621"/>
      <c r="K218" s="621"/>
      <c r="L218" s="621"/>
      <c r="M218" s="621"/>
      <c r="N218" s="621"/>
      <c r="O218" s="621"/>
      <c r="P218" s="621"/>
      <c r="Q218" s="621"/>
      <c r="R218" s="621"/>
      <c r="S218" s="643"/>
    </row>
    <row r="219" spans="2:19" ht="15" hidden="1" customHeight="1" x14ac:dyDescent="0.25">
      <c r="B219" s="509" t="s">
        <v>178</v>
      </c>
      <c r="C219" s="750"/>
      <c r="E219" s="647"/>
      <c r="F219" s="608" t="s">
        <v>232</v>
      </c>
      <c r="G219" s="609" t="e">
        <f>AVERAGE(H219:S219)</f>
        <v>#DIV/0!</v>
      </c>
      <c r="H219" s="636"/>
      <c r="I219" s="610"/>
      <c r="J219" s="610"/>
      <c r="K219" s="610"/>
      <c r="L219" s="648"/>
      <c r="M219" s="610"/>
      <c r="N219" s="610"/>
      <c r="O219" s="610"/>
      <c r="P219" s="610"/>
      <c r="Q219" s="610"/>
      <c r="R219" s="610"/>
      <c r="S219" s="611"/>
    </row>
    <row r="220" spans="2:19" ht="15" hidden="1" customHeight="1" x14ac:dyDescent="0.25">
      <c r="B220" s="522" t="s">
        <v>177</v>
      </c>
      <c r="C220" s="750"/>
      <c r="E220" s="607"/>
      <c r="F220" s="612" t="s">
        <v>218</v>
      </c>
      <c r="G220" s="613" t="e">
        <f>AVERAGE(H220:S220)</f>
        <v>#DIV/0!</v>
      </c>
      <c r="H220" s="614"/>
      <c r="I220" s="615"/>
      <c r="J220" s="615"/>
      <c r="K220" s="615"/>
      <c r="L220" s="648"/>
      <c r="M220" s="615"/>
      <c r="N220" s="615"/>
      <c r="O220" s="615"/>
      <c r="P220" s="615"/>
      <c r="Q220" s="615"/>
      <c r="R220" s="615"/>
      <c r="S220" s="616"/>
    </row>
    <row r="221" spans="2:19" ht="15" hidden="1" customHeight="1" x14ac:dyDescent="0.25">
      <c r="B221" s="522" t="s">
        <v>180</v>
      </c>
      <c r="C221" s="750"/>
      <c r="E221" s="607"/>
      <c r="F221" s="612" t="s">
        <v>233</v>
      </c>
      <c r="G221" s="613" t="e">
        <f>((ROUND(G219/G220,0)&amp;" : "&amp;"1"))</f>
        <v>#DIV/0!</v>
      </c>
      <c r="H221" s="614" t="e">
        <f>((ROUND(H219/H220,0)&amp;" : "&amp;"1"))</f>
        <v>#DIV/0!</v>
      </c>
      <c r="I221" s="614" t="e">
        <f t="shared" ref="I221:S221" si="21">((ROUND(I219/I220,0)&amp;" : "&amp;"1"))</f>
        <v>#DIV/0!</v>
      </c>
      <c r="J221" s="614" t="e">
        <f t="shared" si="21"/>
        <v>#DIV/0!</v>
      </c>
      <c r="K221" s="614" t="e">
        <f t="shared" si="21"/>
        <v>#DIV/0!</v>
      </c>
      <c r="L221" s="614" t="e">
        <f t="shared" si="21"/>
        <v>#DIV/0!</v>
      </c>
      <c r="M221" s="614" t="e">
        <f t="shared" si="21"/>
        <v>#DIV/0!</v>
      </c>
      <c r="N221" s="614" t="e">
        <f t="shared" si="21"/>
        <v>#DIV/0!</v>
      </c>
      <c r="O221" s="614" t="e">
        <f t="shared" si="21"/>
        <v>#DIV/0!</v>
      </c>
      <c r="P221" s="614" t="e">
        <f t="shared" si="21"/>
        <v>#DIV/0!</v>
      </c>
      <c r="Q221" s="614" t="e">
        <f t="shared" si="21"/>
        <v>#DIV/0!</v>
      </c>
      <c r="R221" s="614" t="e">
        <f t="shared" si="21"/>
        <v>#DIV/0!</v>
      </c>
      <c r="S221" s="631" t="e">
        <f t="shared" si="21"/>
        <v>#DIV/0!</v>
      </c>
    </row>
    <row r="222" spans="2:19" ht="15" hidden="1" customHeight="1" x14ac:dyDescent="0.25">
      <c r="B222" s="514" t="s">
        <v>179</v>
      </c>
      <c r="C222" s="750"/>
      <c r="E222" s="607"/>
      <c r="F222" s="617" t="s">
        <v>189</v>
      </c>
      <c r="G222" s="644" t="s">
        <v>189</v>
      </c>
      <c r="H222" s="645" t="s">
        <v>189</v>
      </c>
      <c r="I222" s="645" t="s">
        <v>189</v>
      </c>
      <c r="J222" s="645" t="s">
        <v>189</v>
      </c>
      <c r="K222" s="645" t="s">
        <v>189</v>
      </c>
      <c r="L222" s="645" t="s">
        <v>189</v>
      </c>
      <c r="M222" s="645" t="s">
        <v>189</v>
      </c>
      <c r="N222" s="645" t="s">
        <v>189</v>
      </c>
      <c r="O222" s="645" t="s">
        <v>189</v>
      </c>
      <c r="P222" s="645" t="s">
        <v>189</v>
      </c>
      <c r="Q222" s="645" t="s">
        <v>189</v>
      </c>
      <c r="R222" s="645" t="s">
        <v>189</v>
      </c>
      <c r="S222" s="649" t="s">
        <v>189</v>
      </c>
    </row>
    <row r="223" spans="2:19" ht="15" hidden="1" customHeight="1" x14ac:dyDescent="0.25">
      <c r="B223" s="756" t="s">
        <v>201</v>
      </c>
      <c r="C223" s="920"/>
      <c r="D223" s="885"/>
      <c r="E223" s="621"/>
      <c r="F223" s="622"/>
      <c r="G223" s="650"/>
      <c r="H223" s="621"/>
      <c r="I223" s="621"/>
      <c r="J223" s="621"/>
      <c r="K223" s="1047"/>
      <c r="L223" s="1047"/>
      <c r="M223" s="621"/>
      <c r="N223" s="621"/>
      <c r="O223" s="621"/>
      <c r="P223" s="621"/>
      <c r="Q223" s="621"/>
      <c r="R223" s="621"/>
      <c r="S223" s="643"/>
    </row>
    <row r="224" spans="2:19" ht="15" hidden="1" customHeight="1" x14ac:dyDescent="0.25">
      <c r="B224" s="509" t="s">
        <v>178</v>
      </c>
      <c r="C224" s="750"/>
      <c r="E224" s="607"/>
      <c r="F224" s="608" t="s">
        <v>234</v>
      </c>
      <c r="G224" s="609" t="e">
        <f>AVERAGE(H224:N224)</f>
        <v>#DIV/0!</v>
      </c>
      <c r="H224" s="636"/>
      <c r="I224" s="610"/>
      <c r="J224" s="610"/>
      <c r="K224" s="610"/>
      <c r="L224" s="610"/>
      <c r="M224" s="610"/>
      <c r="N224" s="610"/>
      <c r="O224" s="610"/>
      <c r="P224" s="610"/>
      <c r="Q224" s="610"/>
      <c r="R224" s="610"/>
      <c r="S224" s="611"/>
    </row>
    <row r="225" spans="2:19" ht="15" hidden="1" customHeight="1" x14ac:dyDescent="0.25">
      <c r="B225" s="522" t="s">
        <v>177</v>
      </c>
      <c r="C225" s="750"/>
      <c r="E225" s="607"/>
      <c r="F225" s="612" t="s">
        <v>235</v>
      </c>
      <c r="G225" s="613" t="e">
        <f>AVERAGE(H225:S225)</f>
        <v>#DIV/0!</v>
      </c>
      <c r="H225" s="614"/>
      <c r="I225" s="615"/>
      <c r="J225" s="615"/>
      <c r="K225" s="615"/>
      <c r="L225" s="615"/>
      <c r="M225" s="615"/>
      <c r="N225" s="615"/>
      <c r="O225" s="615"/>
      <c r="P225" s="615"/>
      <c r="Q225" s="615"/>
      <c r="R225" s="615"/>
      <c r="S225" s="616"/>
    </row>
    <row r="226" spans="2:19" ht="15" hidden="1" customHeight="1" x14ac:dyDescent="0.25">
      <c r="B226" s="522" t="s">
        <v>180</v>
      </c>
      <c r="C226" s="750"/>
      <c r="E226" s="607"/>
      <c r="F226" s="612" t="s">
        <v>236</v>
      </c>
      <c r="G226" s="613" t="e">
        <f>((ROUND(G224/G225,0)&amp;" : "&amp;"1"))</f>
        <v>#DIV/0!</v>
      </c>
      <c r="H226" s="614" t="e">
        <f>((ROUND(H224/H225,0)&amp;" : "&amp;"1"))</f>
        <v>#DIV/0!</v>
      </c>
      <c r="I226" s="614" t="e">
        <f t="shared" ref="I226:S226" si="22">((ROUND(I224/I225,0)&amp;" : "&amp;"1"))</f>
        <v>#DIV/0!</v>
      </c>
      <c r="J226" s="614" t="e">
        <f t="shared" si="22"/>
        <v>#DIV/0!</v>
      </c>
      <c r="K226" s="614" t="e">
        <f t="shared" si="22"/>
        <v>#DIV/0!</v>
      </c>
      <c r="L226" s="614" t="e">
        <f t="shared" si="22"/>
        <v>#DIV/0!</v>
      </c>
      <c r="M226" s="614" t="e">
        <f t="shared" si="22"/>
        <v>#DIV/0!</v>
      </c>
      <c r="N226" s="614" t="e">
        <f t="shared" si="22"/>
        <v>#DIV/0!</v>
      </c>
      <c r="O226" s="614" t="e">
        <f t="shared" si="22"/>
        <v>#DIV/0!</v>
      </c>
      <c r="P226" s="614" t="e">
        <f t="shared" si="22"/>
        <v>#DIV/0!</v>
      </c>
      <c r="Q226" s="614" t="e">
        <f t="shared" si="22"/>
        <v>#DIV/0!</v>
      </c>
      <c r="R226" s="614" t="e">
        <f t="shared" si="22"/>
        <v>#DIV/0!</v>
      </c>
      <c r="S226" s="631" t="e">
        <f t="shared" si="22"/>
        <v>#DIV/0!</v>
      </c>
    </row>
    <row r="227" spans="2:19" ht="15" hidden="1" customHeight="1" x14ac:dyDescent="0.25">
      <c r="B227" s="514" t="s">
        <v>179</v>
      </c>
      <c r="C227" s="750"/>
      <c r="E227" s="607"/>
      <c r="F227" s="617" t="s">
        <v>211</v>
      </c>
      <c r="G227" s="618" t="s">
        <v>211</v>
      </c>
      <c r="H227" s="619" t="s">
        <v>211</v>
      </c>
      <c r="I227" s="619" t="s">
        <v>211</v>
      </c>
      <c r="J227" s="619" t="s">
        <v>211</v>
      </c>
      <c r="K227" s="619" t="s">
        <v>211</v>
      </c>
      <c r="L227" s="619" t="s">
        <v>211</v>
      </c>
      <c r="M227" s="619" t="s">
        <v>211</v>
      </c>
      <c r="N227" s="619" t="s">
        <v>211</v>
      </c>
      <c r="O227" s="619" t="s">
        <v>211</v>
      </c>
      <c r="P227" s="619" t="s">
        <v>211</v>
      </c>
      <c r="Q227" s="619" t="s">
        <v>211</v>
      </c>
      <c r="R227" s="619" t="s">
        <v>211</v>
      </c>
      <c r="S227" s="632" t="s">
        <v>211</v>
      </c>
    </row>
    <row r="228" spans="2:19" ht="15" hidden="1" customHeight="1" x14ac:dyDescent="0.25">
      <c r="B228" s="756" t="s">
        <v>163</v>
      </c>
      <c r="C228" s="920"/>
      <c r="D228" s="885"/>
      <c r="E228" s="621"/>
      <c r="F228" s="622"/>
      <c r="G228" s="650"/>
      <c r="H228" s="621"/>
      <c r="I228" s="621"/>
      <c r="J228" s="621"/>
      <c r="K228" s="1047"/>
      <c r="L228" s="1047"/>
      <c r="M228" s="621"/>
      <c r="N228" s="621"/>
      <c r="O228" s="621"/>
      <c r="P228" s="621"/>
      <c r="Q228" s="621"/>
      <c r="R228" s="621"/>
      <c r="S228" s="643"/>
    </row>
    <row r="229" spans="2:19" ht="15" hidden="1" customHeight="1" x14ac:dyDescent="0.25">
      <c r="B229" s="509" t="s">
        <v>178</v>
      </c>
      <c r="C229" s="750"/>
      <c r="E229" s="607"/>
      <c r="F229" s="608" t="s">
        <v>237</v>
      </c>
      <c r="G229" s="609" t="e">
        <f>AVERAGE(H229:S229)</f>
        <v>#DIV/0!</v>
      </c>
      <c r="H229" s="636"/>
      <c r="I229" s="610"/>
      <c r="J229" s="610"/>
      <c r="K229" s="610"/>
      <c r="L229" s="610"/>
      <c r="M229" s="610"/>
      <c r="N229" s="610"/>
      <c r="O229" s="610"/>
      <c r="P229" s="610"/>
      <c r="Q229" s="610"/>
      <c r="R229" s="610"/>
      <c r="S229" s="611"/>
    </row>
    <row r="230" spans="2:19" ht="15" hidden="1" customHeight="1" x14ac:dyDescent="0.25">
      <c r="B230" s="522" t="s">
        <v>177</v>
      </c>
      <c r="C230" s="750"/>
      <c r="E230" s="607"/>
      <c r="F230" s="612" t="s">
        <v>227</v>
      </c>
      <c r="G230" s="613" t="e">
        <f>AVERAGE(H230:S230)</f>
        <v>#DIV/0!</v>
      </c>
      <c r="H230" s="614"/>
      <c r="I230" s="615"/>
      <c r="J230" s="615"/>
      <c r="K230" s="615"/>
      <c r="L230" s="615"/>
      <c r="M230" s="615"/>
      <c r="N230" s="615"/>
      <c r="O230" s="615"/>
      <c r="P230" s="615"/>
      <c r="Q230" s="615"/>
      <c r="R230" s="615"/>
      <c r="S230" s="616"/>
    </row>
    <row r="231" spans="2:19" ht="15" hidden="1" customHeight="1" x14ac:dyDescent="0.25">
      <c r="B231" s="522" t="s">
        <v>180</v>
      </c>
      <c r="C231" s="750"/>
      <c r="E231" s="607"/>
      <c r="F231" s="612" t="s">
        <v>225</v>
      </c>
      <c r="G231" s="613" t="e">
        <f>((ROUND(G229/G230,0)&amp;" : "&amp;"1"))</f>
        <v>#DIV/0!</v>
      </c>
      <c r="H231" s="614" t="e">
        <f>((ROUND(H229/H230,0)&amp;" : "&amp;"1"))</f>
        <v>#DIV/0!</v>
      </c>
      <c r="I231" s="614" t="e">
        <f t="shared" ref="I231:S231" si="23">((ROUND(I229/I230,0)&amp;" : "&amp;"1"))</f>
        <v>#DIV/0!</v>
      </c>
      <c r="J231" s="614" t="e">
        <f t="shared" si="23"/>
        <v>#DIV/0!</v>
      </c>
      <c r="K231" s="614" t="e">
        <f t="shared" si="23"/>
        <v>#DIV/0!</v>
      </c>
      <c r="L231" s="614" t="e">
        <f t="shared" si="23"/>
        <v>#DIV/0!</v>
      </c>
      <c r="M231" s="614" t="e">
        <f t="shared" si="23"/>
        <v>#DIV/0!</v>
      </c>
      <c r="N231" s="614" t="e">
        <f t="shared" si="23"/>
        <v>#DIV/0!</v>
      </c>
      <c r="O231" s="614" t="e">
        <f t="shared" si="23"/>
        <v>#DIV/0!</v>
      </c>
      <c r="P231" s="614" t="e">
        <f t="shared" si="23"/>
        <v>#DIV/0!</v>
      </c>
      <c r="Q231" s="614" t="e">
        <f t="shared" si="23"/>
        <v>#DIV/0!</v>
      </c>
      <c r="R231" s="614" t="e">
        <f t="shared" si="23"/>
        <v>#DIV/0!</v>
      </c>
      <c r="S231" s="631" t="e">
        <f t="shared" si="23"/>
        <v>#DIV/0!</v>
      </c>
    </row>
    <row r="232" spans="2:19" ht="15" hidden="1" customHeight="1" x14ac:dyDescent="0.25">
      <c r="B232" s="514" t="s">
        <v>179</v>
      </c>
      <c r="C232" s="750"/>
      <c r="E232" s="607"/>
      <c r="F232" s="617" t="s">
        <v>212</v>
      </c>
      <c r="G232" s="618" t="s">
        <v>212</v>
      </c>
      <c r="H232" s="619" t="s">
        <v>212</v>
      </c>
      <c r="I232" s="619" t="s">
        <v>212</v>
      </c>
      <c r="J232" s="619" t="s">
        <v>212</v>
      </c>
      <c r="K232" s="619" t="s">
        <v>212</v>
      </c>
      <c r="L232" s="619" t="s">
        <v>212</v>
      </c>
      <c r="M232" s="619" t="s">
        <v>212</v>
      </c>
      <c r="N232" s="619" t="s">
        <v>212</v>
      </c>
      <c r="O232" s="619" t="s">
        <v>212</v>
      </c>
      <c r="P232" s="619" t="s">
        <v>212</v>
      </c>
      <c r="Q232" s="619" t="s">
        <v>212</v>
      </c>
      <c r="R232" s="619" t="s">
        <v>212</v>
      </c>
      <c r="S232" s="632" t="s">
        <v>212</v>
      </c>
    </row>
    <row r="233" spans="2:19" ht="15" hidden="1" customHeight="1" x14ac:dyDescent="0.25">
      <c r="B233" s="756" t="s">
        <v>202</v>
      </c>
      <c r="C233" s="920"/>
      <c r="D233" s="885"/>
      <c r="E233" s="621"/>
      <c r="F233" s="622"/>
      <c r="G233" s="650"/>
      <c r="H233" s="621"/>
      <c r="I233" s="621"/>
      <c r="J233" s="621"/>
      <c r="K233" s="1047"/>
      <c r="L233" s="1047"/>
      <c r="M233" s="621"/>
      <c r="N233" s="621"/>
      <c r="O233" s="621"/>
      <c r="P233" s="621"/>
      <c r="Q233" s="621"/>
      <c r="R233" s="621"/>
      <c r="S233" s="643"/>
    </row>
    <row r="234" spans="2:19" ht="15" hidden="1" customHeight="1" x14ac:dyDescent="0.25">
      <c r="B234" s="509" t="s">
        <v>178</v>
      </c>
      <c r="C234" s="750"/>
      <c r="E234" s="607"/>
      <c r="F234" s="608" t="s">
        <v>238</v>
      </c>
      <c r="G234" s="609" t="e">
        <f>AVERAGE(H234:S234)</f>
        <v>#DIV/0!</v>
      </c>
      <c r="H234" s="636"/>
      <c r="I234" s="610"/>
      <c r="J234" s="610"/>
      <c r="K234" s="610"/>
      <c r="L234" s="610"/>
      <c r="M234" s="610"/>
      <c r="N234" s="610"/>
      <c r="O234" s="610"/>
      <c r="P234" s="610"/>
      <c r="Q234" s="610"/>
      <c r="R234" s="610"/>
      <c r="S234" s="611"/>
    </row>
    <row r="235" spans="2:19" ht="15" hidden="1" customHeight="1" x14ac:dyDescent="0.25">
      <c r="B235" s="522" t="s">
        <v>177</v>
      </c>
      <c r="C235" s="750"/>
      <c r="E235" s="607"/>
      <c r="F235" s="612" t="s">
        <v>235</v>
      </c>
      <c r="G235" s="613" t="e">
        <f>AVERAGE(H235:S235)</f>
        <v>#DIV/0!</v>
      </c>
      <c r="H235" s="614"/>
      <c r="I235" s="615"/>
      <c r="J235" s="615"/>
      <c r="K235" s="615"/>
      <c r="L235" s="615"/>
      <c r="M235" s="615"/>
      <c r="N235" s="615"/>
      <c r="O235" s="615"/>
      <c r="P235" s="615"/>
      <c r="Q235" s="615"/>
      <c r="R235" s="615"/>
      <c r="S235" s="616"/>
    </row>
    <row r="236" spans="2:19" ht="15" hidden="1" customHeight="1" x14ac:dyDescent="0.25">
      <c r="B236" s="522" t="s">
        <v>180</v>
      </c>
      <c r="C236" s="750"/>
      <c r="E236" s="607"/>
      <c r="F236" s="612" t="s">
        <v>236</v>
      </c>
      <c r="G236" s="613" t="e">
        <f>((ROUND(G234/G235,0)&amp;" : "&amp;"1"))</f>
        <v>#DIV/0!</v>
      </c>
      <c r="H236" s="614" t="e">
        <f>((ROUND(H234/H235,0)&amp;" : "&amp;"1"))</f>
        <v>#DIV/0!</v>
      </c>
      <c r="I236" s="614" t="e">
        <f t="shared" ref="I236:S236" si="24">((ROUND(I234/I235,0)&amp;" : "&amp;"1"))</f>
        <v>#DIV/0!</v>
      </c>
      <c r="J236" s="614" t="e">
        <f t="shared" si="24"/>
        <v>#DIV/0!</v>
      </c>
      <c r="K236" s="614" t="e">
        <f t="shared" si="24"/>
        <v>#DIV/0!</v>
      </c>
      <c r="L236" s="614" t="e">
        <f t="shared" si="24"/>
        <v>#DIV/0!</v>
      </c>
      <c r="M236" s="614" t="e">
        <f t="shared" si="24"/>
        <v>#DIV/0!</v>
      </c>
      <c r="N236" s="614" t="e">
        <f t="shared" si="24"/>
        <v>#DIV/0!</v>
      </c>
      <c r="O236" s="614" t="e">
        <f t="shared" si="24"/>
        <v>#DIV/0!</v>
      </c>
      <c r="P236" s="614" t="e">
        <f t="shared" si="24"/>
        <v>#DIV/0!</v>
      </c>
      <c r="Q236" s="614" t="e">
        <f t="shared" si="24"/>
        <v>#DIV/0!</v>
      </c>
      <c r="R236" s="614" t="e">
        <f t="shared" si="24"/>
        <v>#DIV/0!</v>
      </c>
      <c r="S236" s="631" t="e">
        <f t="shared" si="24"/>
        <v>#DIV/0!</v>
      </c>
    </row>
    <row r="237" spans="2:19" ht="15" hidden="1" customHeight="1" x14ac:dyDescent="0.25">
      <c r="B237" s="759" t="s">
        <v>179</v>
      </c>
      <c r="C237" s="914"/>
      <c r="D237" s="880"/>
      <c r="E237" s="637"/>
      <c r="F237" s="638" t="s">
        <v>211</v>
      </c>
      <c r="G237" s="639" t="s">
        <v>211</v>
      </c>
      <c r="H237" s="640" t="s">
        <v>189</v>
      </c>
      <c r="I237" s="640" t="s">
        <v>189</v>
      </c>
      <c r="J237" s="640" t="s">
        <v>189</v>
      </c>
      <c r="K237" s="640" t="s">
        <v>189</v>
      </c>
      <c r="L237" s="640" t="s">
        <v>189</v>
      </c>
      <c r="M237" s="640" t="s">
        <v>189</v>
      </c>
      <c r="N237" s="640" t="s">
        <v>189</v>
      </c>
      <c r="O237" s="640" t="s">
        <v>189</v>
      </c>
      <c r="P237" s="651" t="s">
        <v>211</v>
      </c>
      <c r="Q237" s="651" t="s">
        <v>211</v>
      </c>
      <c r="R237" s="651" t="s">
        <v>211</v>
      </c>
      <c r="S237" s="652" t="s">
        <v>211</v>
      </c>
    </row>
    <row r="238" spans="2:19" hidden="1" x14ac:dyDescent="0.25"/>
    <row r="239" spans="2:19" hidden="1" x14ac:dyDescent="0.25"/>
  </sheetData>
  <mergeCells count="35">
    <mergeCell ref="B41:S41"/>
    <mergeCell ref="B49:S49"/>
    <mergeCell ref="E1:F1"/>
    <mergeCell ref="B3:S3"/>
    <mergeCell ref="B4:S4"/>
    <mergeCell ref="B5:S5"/>
    <mergeCell ref="B24:S24"/>
    <mergeCell ref="B13:S13"/>
    <mergeCell ref="E45:F46"/>
    <mergeCell ref="G45:G46"/>
    <mergeCell ref="B74:S74"/>
    <mergeCell ref="B75:S75"/>
    <mergeCell ref="B81:S81"/>
    <mergeCell ref="B55:S55"/>
    <mergeCell ref="B62:S62"/>
    <mergeCell ref="B116:S116"/>
    <mergeCell ref="B125:S125"/>
    <mergeCell ref="B130:S130"/>
    <mergeCell ref="B85:S85"/>
    <mergeCell ref="B96:S96"/>
    <mergeCell ref="B105:S105"/>
    <mergeCell ref="B115:S115"/>
    <mergeCell ref="B102:S102"/>
    <mergeCell ref="B149:S149"/>
    <mergeCell ref="B150:S150"/>
    <mergeCell ref="B158:S158"/>
    <mergeCell ref="B165:S165"/>
    <mergeCell ref="B137:S137"/>
    <mergeCell ref="B138:S138"/>
    <mergeCell ref="B143:S143"/>
    <mergeCell ref="K228:L228"/>
    <mergeCell ref="K233:L233"/>
    <mergeCell ref="B173:S173"/>
    <mergeCell ref="B175:S175"/>
    <mergeCell ref="K223:L223"/>
  </mergeCells>
  <pageMargins left="0.25" right="0.25" top="0.75" bottom="0.75" header="0.3" footer="0.3"/>
  <pageSetup scale="46" fitToHeight="0" orientation="landscape" r:id="rId1"/>
  <ignoredErrors>
    <ignoredError sqref="G90" formula="1"/>
    <ignoredError sqref="I159 J159:O159 O151 P139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39"/>
  <sheetViews>
    <sheetView zoomScale="75" zoomScaleNormal="75" zoomScaleSheetLayoutView="100" workbookViewId="0">
      <pane xSplit="5" ySplit="5" topLeftCell="F53" activePane="bottomRight" state="frozen"/>
      <selection activeCell="B1" sqref="B1"/>
      <selection pane="topRight" activeCell="F1" sqref="F1"/>
      <selection pane="bottomLeft" activeCell="B6" sqref="B6"/>
      <selection pane="bottomRight" activeCell="F25" sqref="F25:Q25"/>
    </sheetView>
  </sheetViews>
  <sheetFormatPr defaultColWidth="8.85546875" defaultRowHeight="18.75" x14ac:dyDescent="0.3"/>
  <cols>
    <col min="1" max="1" width="9.140625" style="1" hidden="1" customWidth="1"/>
    <col min="2" max="2" width="70.140625" style="1" customWidth="1"/>
    <col min="3" max="3" width="10.85546875" style="10" bestFit="1" customWidth="1"/>
    <col min="4" max="4" width="11.85546875" style="10" customWidth="1"/>
    <col min="5" max="5" width="18" style="9" bestFit="1" customWidth="1"/>
    <col min="6" max="7" width="18.7109375" style="10" bestFit="1" customWidth="1"/>
    <col min="8" max="8" width="15.85546875" style="10" bestFit="1" customWidth="1"/>
    <col min="9" max="12" width="17.5703125" style="10" bestFit="1" customWidth="1"/>
    <col min="13" max="13" width="17.28515625" style="10" bestFit="1" customWidth="1"/>
    <col min="14" max="14" width="15.7109375" style="10" bestFit="1" customWidth="1"/>
    <col min="15" max="15" width="17" style="10" bestFit="1" customWidth="1"/>
    <col min="16" max="17" width="15.7109375" style="10" bestFit="1" customWidth="1"/>
    <col min="18" max="18" width="9.85546875" style="1" bestFit="1" customWidth="1"/>
    <col min="19" max="16384" width="8.85546875" style="1"/>
  </cols>
  <sheetData>
    <row r="1" spans="1:17" x14ac:dyDescent="0.3">
      <c r="A1" s="4"/>
      <c r="B1" s="11"/>
      <c r="C1" s="1096" t="s">
        <v>110</v>
      </c>
      <c r="D1" s="1097"/>
      <c r="E1" s="12" t="s">
        <v>123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x14ac:dyDescent="0.3">
      <c r="A2" s="5"/>
      <c r="B2" s="15"/>
      <c r="C2" s="16" t="s">
        <v>169</v>
      </c>
      <c r="D2" s="17" t="s">
        <v>213</v>
      </c>
      <c r="E2" s="18" t="s">
        <v>255</v>
      </c>
      <c r="F2" s="19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</row>
    <row r="3" spans="1:17" x14ac:dyDescent="0.3">
      <c r="A3" s="5"/>
      <c r="B3" s="1098" t="s">
        <v>72</v>
      </c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099"/>
      <c r="Q3" s="1100"/>
    </row>
    <row r="4" spans="1:17" x14ac:dyDescent="0.3">
      <c r="A4" s="5"/>
      <c r="B4" s="1101" t="s">
        <v>3</v>
      </c>
      <c r="C4" s="1102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  <c r="Q4" s="1103"/>
    </row>
    <row r="5" spans="1:17" x14ac:dyDescent="0.3">
      <c r="A5" s="5"/>
      <c r="B5" s="1093" t="s">
        <v>18</v>
      </c>
      <c r="C5" s="1094"/>
      <c r="D5" s="1094"/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5"/>
    </row>
    <row r="6" spans="1:17" ht="24" customHeight="1" x14ac:dyDescent="0.3">
      <c r="A6" s="5"/>
      <c r="B6" s="21" t="s">
        <v>4</v>
      </c>
      <c r="C6" s="22">
        <v>3182</v>
      </c>
      <c r="D6" s="23">
        <v>3091</v>
      </c>
      <c r="E6" s="159">
        <f t="shared" ref="E6:E12" si="0">SUM(F6:Q6)</f>
        <v>3195</v>
      </c>
      <c r="F6" s="24">
        <v>231</v>
      </c>
      <c r="G6" s="25">
        <v>265</v>
      </c>
      <c r="H6" s="25">
        <v>258</v>
      </c>
      <c r="I6" s="25">
        <v>278</v>
      </c>
      <c r="J6" s="25">
        <v>254</v>
      </c>
      <c r="K6" s="25">
        <v>222</v>
      </c>
      <c r="L6" s="25">
        <v>256</v>
      </c>
      <c r="M6" s="25">
        <v>289</v>
      </c>
      <c r="N6" s="25">
        <v>298</v>
      </c>
      <c r="O6" s="25">
        <v>273</v>
      </c>
      <c r="P6" s="25">
        <v>343</v>
      </c>
      <c r="Q6" s="26">
        <v>228</v>
      </c>
    </row>
    <row r="7" spans="1:17" ht="24" customHeight="1" x14ac:dyDescent="0.3">
      <c r="A7" s="5"/>
      <c r="B7" s="27" t="s">
        <v>5</v>
      </c>
      <c r="C7" s="28">
        <v>1710</v>
      </c>
      <c r="D7" s="29">
        <v>1566</v>
      </c>
      <c r="E7" s="160">
        <f t="shared" si="0"/>
        <v>1520</v>
      </c>
      <c r="F7" s="30">
        <v>124</v>
      </c>
      <c r="G7" s="31">
        <v>121</v>
      </c>
      <c r="H7" s="31">
        <v>135</v>
      </c>
      <c r="I7" s="31">
        <v>126</v>
      </c>
      <c r="J7" s="31">
        <v>120</v>
      </c>
      <c r="K7" s="31">
        <v>110</v>
      </c>
      <c r="L7" s="31">
        <v>112</v>
      </c>
      <c r="M7" s="31">
        <v>119</v>
      </c>
      <c r="N7" s="31">
        <v>136</v>
      </c>
      <c r="O7" s="31">
        <v>136</v>
      </c>
      <c r="P7" s="31">
        <v>184</v>
      </c>
      <c r="Q7" s="32">
        <v>97</v>
      </c>
    </row>
    <row r="8" spans="1:17" ht="24" customHeight="1" x14ac:dyDescent="0.3">
      <c r="A8" s="5"/>
      <c r="B8" s="241" t="s">
        <v>143</v>
      </c>
      <c r="C8" s="33">
        <v>5271</v>
      </c>
      <c r="D8" s="34">
        <v>4557</v>
      </c>
      <c r="E8" s="160">
        <f t="shared" si="0"/>
        <v>4658</v>
      </c>
      <c r="F8" s="205">
        <f>87+162+80+45+3+7</f>
        <v>384</v>
      </c>
      <c r="G8" s="195">
        <v>418</v>
      </c>
      <c r="H8" s="195">
        <f>97+105+95+73</f>
        <v>370</v>
      </c>
      <c r="I8" s="195">
        <v>424</v>
      </c>
      <c r="J8" s="195">
        <v>406</v>
      </c>
      <c r="K8" s="195">
        <v>301</v>
      </c>
      <c r="L8" s="31">
        <v>324</v>
      </c>
      <c r="M8" s="31">
        <v>405</v>
      </c>
      <c r="N8" s="31">
        <v>409</v>
      </c>
      <c r="O8" s="31">
        <v>365</v>
      </c>
      <c r="P8" s="31">
        <v>487</v>
      </c>
      <c r="Q8" s="32">
        <v>365</v>
      </c>
    </row>
    <row r="9" spans="1:17" s="2" customFormat="1" ht="24" customHeight="1" x14ac:dyDescent="0.25">
      <c r="A9" s="6"/>
      <c r="B9" s="21" t="s">
        <v>145</v>
      </c>
      <c r="C9" s="210">
        <v>237</v>
      </c>
      <c r="D9" s="42">
        <v>346</v>
      </c>
      <c r="E9" s="162">
        <f t="shared" si="0"/>
        <v>295</v>
      </c>
      <c r="F9" s="43">
        <v>22</v>
      </c>
      <c r="G9" s="44">
        <v>19</v>
      </c>
      <c r="H9" s="44">
        <v>22</v>
      </c>
      <c r="I9" s="44">
        <v>18</v>
      </c>
      <c r="J9" s="44">
        <v>26</v>
      </c>
      <c r="K9" s="44">
        <v>29</v>
      </c>
      <c r="L9" s="44">
        <v>16</v>
      </c>
      <c r="M9" s="44">
        <v>29</v>
      </c>
      <c r="N9" s="44">
        <v>28</v>
      </c>
      <c r="O9" s="44">
        <v>33</v>
      </c>
      <c r="P9" s="44">
        <v>32</v>
      </c>
      <c r="Q9" s="45">
        <v>21</v>
      </c>
    </row>
    <row r="10" spans="1:17" s="2" customFormat="1" ht="37.35" customHeight="1" x14ac:dyDescent="0.25">
      <c r="A10" s="6"/>
      <c r="B10" s="183" t="s">
        <v>147</v>
      </c>
      <c r="C10" s="204">
        <v>219</v>
      </c>
      <c r="D10" s="42">
        <v>315</v>
      </c>
      <c r="E10" s="163">
        <f t="shared" si="0"/>
        <v>0</v>
      </c>
      <c r="F10" s="43" t="s">
        <v>144</v>
      </c>
      <c r="G10" s="44" t="s">
        <v>144</v>
      </c>
      <c r="H10" s="44" t="s">
        <v>144</v>
      </c>
      <c r="I10" s="44" t="s">
        <v>144</v>
      </c>
      <c r="J10" s="44" t="s">
        <v>144</v>
      </c>
      <c r="K10" s="44" t="s">
        <v>144</v>
      </c>
      <c r="L10" s="44" t="s">
        <v>144</v>
      </c>
      <c r="M10" s="44" t="s">
        <v>144</v>
      </c>
      <c r="N10" s="44" t="s">
        <v>144</v>
      </c>
      <c r="O10" s="44" t="s">
        <v>144</v>
      </c>
      <c r="P10" s="44" t="s">
        <v>144</v>
      </c>
      <c r="Q10" s="45" t="s">
        <v>144</v>
      </c>
    </row>
    <row r="11" spans="1:17" s="2" customFormat="1" ht="24" customHeight="1" x14ac:dyDescent="0.25">
      <c r="A11" s="6"/>
      <c r="B11" s="46" t="s">
        <v>146</v>
      </c>
      <c r="C11" s="204">
        <v>1029</v>
      </c>
      <c r="D11" s="42">
        <v>1294</v>
      </c>
      <c r="E11" s="163">
        <f t="shared" si="0"/>
        <v>1223</v>
      </c>
      <c r="F11" s="43">
        <v>102</v>
      </c>
      <c r="G11" s="44">
        <v>102</v>
      </c>
      <c r="H11" s="44">
        <v>113</v>
      </c>
      <c r="I11" s="44">
        <v>108</v>
      </c>
      <c r="J11" s="44">
        <v>94</v>
      </c>
      <c r="K11" s="44">
        <v>81</v>
      </c>
      <c r="L11" s="44">
        <v>96</v>
      </c>
      <c r="M11" s="44">
        <v>90</v>
      </c>
      <c r="N11" s="44">
        <v>107</v>
      </c>
      <c r="O11" s="44">
        <v>102</v>
      </c>
      <c r="P11" s="44">
        <v>152</v>
      </c>
      <c r="Q11" s="45">
        <v>76</v>
      </c>
    </row>
    <row r="12" spans="1:17" s="2" customFormat="1" ht="24" customHeight="1" x14ac:dyDescent="0.25">
      <c r="A12" s="6"/>
      <c r="B12" s="188" t="s">
        <v>148</v>
      </c>
      <c r="C12" s="204">
        <v>925</v>
      </c>
      <c r="D12" s="34">
        <v>1160</v>
      </c>
      <c r="E12" s="163">
        <f t="shared" si="0"/>
        <v>0</v>
      </c>
      <c r="F12" s="30" t="s">
        <v>144</v>
      </c>
      <c r="G12" s="31" t="s">
        <v>144</v>
      </c>
      <c r="H12" s="31" t="s">
        <v>144</v>
      </c>
      <c r="I12" s="31" t="s">
        <v>144</v>
      </c>
      <c r="J12" s="31" t="s">
        <v>144</v>
      </c>
      <c r="K12" s="31" t="s">
        <v>144</v>
      </c>
      <c r="L12" s="31" t="s">
        <v>144</v>
      </c>
      <c r="M12" s="31" t="s">
        <v>144</v>
      </c>
      <c r="N12" s="31" t="s">
        <v>144</v>
      </c>
      <c r="O12" s="31" t="s">
        <v>144</v>
      </c>
      <c r="P12" s="31" t="s">
        <v>144</v>
      </c>
      <c r="Q12" s="32" t="s">
        <v>144</v>
      </c>
    </row>
    <row r="13" spans="1:17" s="2" customFormat="1" ht="18.75" customHeight="1" x14ac:dyDescent="0.25">
      <c r="A13" s="6"/>
      <c r="B13" s="319" t="s">
        <v>19</v>
      </c>
      <c r="C13" s="320"/>
      <c r="D13" s="321"/>
      <c r="E13" s="322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4"/>
    </row>
    <row r="14" spans="1:17" s="2" customFormat="1" ht="1.5" customHeight="1" x14ac:dyDescent="0.25">
      <c r="A14" s="6"/>
      <c r="B14" s="326" t="s">
        <v>192</v>
      </c>
      <c r="C14" s="325"/>
      <c r="D14" s="263"/>
      <c r="E14" s="344"/>
      <c r="F14" s="34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6"/>
    </row>
    <row r="15" spans="1:17" s="2" customFormat="1" ht="18.75" hidden="1" customHeight="1" x14ac:dyDescent="0.25">
      <c r="A15" s="6"/>
      <c r="B15" s="327" t="s">
        <v>22</v>
      </c>
      <c r="C15" s="325"/>
      <c r="D15" s="263"/>
      <c r="E15" s="334"/>
      <c r="F15" s="24"/>
      <c r="G15" s="25">
        <v>117</v>
      </c>
      <c r="H15" s="25"/>
      <c r="I15" s="25"/>
      <c r="J15" s="25"/>
      <c r="K15" s="25"/>
      <c r="L15" s="25"/>
      <c r="M15" s="25"/>
      <c r="N15" s="25"/>
      <c r="O15" s="25"/>
      <c r="P15" s="25"/>
      <c r="Q15" s="26"/>
    </row>
    <row r="16" spans="1:17" s="2" customFormat="1" ht="18.75" hidden="1" customHeight="1" x14ac:dyDescent="0.25">
      <c r="A16" s="6"/>
      <c r="B16" s="327" t="s">
        <v>23</v>
      </c>
      <c r="C16" s="325"/>
      <c r="D16" s="263"/>
      <c r="E16" s="335"/>
      <c r="F16" s="24"/>
      <c r="G16" s="25">
        <v>93</v>
      </c>
      <c r="H16" s="25"/>
      <c r="I16" s="25"/>
      <c r="J16" s="25"/>
      <c r="K16" s="25"/>
      <c r="L16" s="25"/>
      <c r="M16" s="25"/>
      <c r="N16" s="25"/>
      <c r="O16" s="25"/>
      <c r="P16" s="25"/>
      <c r="Q16" s="26"/>
    </row>
    <row r="17" spans="1:17" s="2" customFormat="1" ht="18.75" hidden="1" customHeight="1" x14ac:dyDescent="0.25">
      <c r="A17" s="6"/>
      <c r="B17" s="327" t="s">
        <v>199</v>
      </c>
      <c r="C17" s="325"/>
      <c r="D17" s="263"/>
      <c r="E17" s="336"/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1:17" s="2" customFormat="1" ht="18.75" hidden="1" customHeight="1" x14ac:dyDescent="0.25">
      <c r="A18" s="6"/>
      <c r="B18" s="241" t="s">
        <v>193</v>
      </c>
      <c r="C18" s="325"/>
      <c r="D18" s="263"/>
      <c r="E18" s="163"/>
      <c r="F18" s="43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7" s="2" customFormat="1" ht="18.75" hidden="1" customHeight="1" x14ac:dyDescent="0.25">
      <c r="A19" s="6"/>
      <c r="B19" s="241" t="s">
        <v>194</v>
      </c>
      <c r="C19" s="325"/>
      <c r="D19" s="263"/>
      <c r="E19" s="163"/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/>
    </row>
    <row r="20" spans="1:17" s="2" customFormat="1" ht="18.75" hidden="1" customHeight="1" x14ac:dyDescent="0.25">
      <c r="A20" s="6"/>
      <c r="B20" s="327" t="s">
        <v>196</v>
      </c>
      <c r="C20" s="325"/>
      <c r="D20" s="263"/>
      <c r="E20" s="163"/>
      <c r="F20" s="4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</row>
    <row r="21" spans="1:17" s="2" customFormat="1" ht="18.75" hidden="1" customHeight="1" x14ac:dyDescent="0.25">
      <c r="A21" s="6"/>
      <c r="B21" s="327" t="s">
        <v>195</v>
      </c>
      <c r="C21" s="325"/>
      <c r="D21" s="263"/>
      <c r="E21" s="163"/>
      <c r="F21" s="4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</row>
    <row r="22" spans="1:17" s="2" customFormat="1" ht="18.75" hidden="1" customHeight="1" x14ac:dyDescent="0.25">
      <c r="A22" s="6"/>
      <c r="B22" s="241" t="s">
        <v>197</v>
      </c>
      <c r="C22" s="325"/>
      <c r="D22" s="263"/>
      <c r="E22" s="163"/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</row>
    <row r="23" spans="1:17" s="2" customFormat="1" ht="37.5" hidden="1" customHeight="1" x14ac:dyDescent="0.25">
      <c r="A23" s="6"/>
      <c r="B23" s="328" t="s">
        <v>198</v>
      </c>
      <c r="C23" s="325"/>
      <c r="D23" s="263"/>
      <c r="E23" s="160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</row>
    <row r="24" spans="1:17" x14ac:dyDescent="0.3">
      <c r="A24" s="5"/>
      <c r="B24" s="1093" t="s">
        <v>20</v>
      </c>
      <c r="C24" s="1094"/>
      <c r="D24" s="1094"/>
      <c r="E24" s="1094"/>
      <c r="F24" s="1094"/>
      <c r="G24" s="1094"/>
      <c r="H24" s="1094"/>
      <c r="I24" s="1094"/>
      <c r="J24" s="1094"/>
      <c r="K24" s="1094"/>
      <c r="L24" s="1094"/>
      <c r="M24" s="1094"/>
      <c r="N24" s="1094"/>
      <c r="O24" s="1094"/>
      <c r="P24" s="1094"/>
      <c r="Q24" s="1095"/>
    </row>
    <row r="25" spans="1:17" s="2" customFormat="1" ht="24" customHeight="1" x14ac:dyDescent="0.25">
      <c r="A25" s="6"/>
      <c r="B25" s="21" t="s">
        <v>21</v>
      </c>
      <c r="C25" s="1104"/>
      <c r="D25" s="1105"/>
      <c r="E25" s="69">
        <f>SUM(F25:Q25)</f>
        <v>3435</v>
      </c>
      <c r="F25" s="24">
        <v>266</v>
      </c>
      <c r="G25" s="25">
        <v>270</v>
      </c>
      <c r="H25" s="222">
        <v>278</v>
      </c>
      <c r="I25" s="458">
        <v>281</v>
      </c>
      <c r="J25" s="222">
        <v>278</v>
      </c>
      <c r="K25" s="222">
        <v>287</v>
      </c>
      <c r="L25" s="222">
        <v>292</v>
      </c>
      <c r="M25" s="222">
        <v>283</v>
      </c>
      <c r="N25" s="222">
        <v>288</v>
      </c>
      <c r="O25" s="222">
        <v>298</v>
      </c>
      <c r="P25" s="222">
        <v>306</v>
      </c>
      <c r="Q25" s="267">
        <v>308</v>
      </c>
    </row>
    <row r="26" spans="1:17" s="2" customFormat="1" ht="24" customHeight="1" x14ac:dyDescent="0.25">
      <c r="A26" s="6"/>
      <c r="B26" s="185" t="s">
        <v>22</v>
      </c>
      <c r="C26" s="1104"/>
      <c r="D26" s="1105"/>
      <c r="E26" s="69">
        <f t="shared" ref="E26:E32" si="1">SUM(F26:Q26)</f>
        <v>1807</v>
      </c>
      <c r="F26" s="24">
        <v>143</v>
      </c>
      <c r="G26" s="44">
        <v>147</v>
      </c>
      <c r="H26" s="256">
        <v>153</v>
      </c>
      <c r="I26" s="44">
        <v>150</v>
      </c>
      <c r="J26" s="44">
        <v>136</v>
      </c>
      <c r="K26" s="44">
        <v>150</v>
      </c>
      <c r="L26" s="44">
        <v>154</v>
      </c>
      <c r="M26" s="44">
        <v>146</v>
      </c>
      <c r="N26" s="44">
        <v>151</v>
      </c>
      <c r="O26" s="44">
        <v>156</v>
      </c>
      <c r="P26" s="44">
        <v>160</v>
      </c>
      <c r="Q26" s="45">
        <v>161</v>
      </c>
    </row>
    <row r="27" spans="1:17" s="2" customFormat="1" ht="24" customHeight="1" x14ac:dyDescent="0.25">
      <c r="A27" s="6"/>
      <c r="B27" s="185" t="s">
        <v>23</v>
      </c>
      <c r="C27" s="1104"/>
      <c r="D27" s="1105"/>
      <c r="E27" s="69">
        <f t="shared" si="1"/>
        <v>1664</v>
      </c>
      <c r="F27" s="24">
        <v>137</v>
      </c>
      <c r="G27" s="44">
        <v>139</v>
      </c>
      <c r="H27" s="256">
        <v>141</v>
      </c>
      <c r="I27" s="44">
        <v>131</v>
      </c>
      <c r="J27" s="44">
        <v>132</v>
      </c>
      <c r="K27" s="44">
        <v>137</v>
      </c>
      <c r="L27" s="44">
        <v>138</v>
      </c>
      <c r="M27" s="44">
        <v>137</v>
      </c>
      <c r="N27" s="44">
        <v>137</v>
      </c>
      <c r="O27" s="44">
        <v>142</v>
      </c>
      <c r="P27" s="44">
        <v>146</v>
      </c>
      <c r="Q27" s="45">
        <v>147</v>
      </c>
    </row>
    <row r="28" spans="1:17" s="2" customFormat="1" ht="24" customHeight="1" x14ac:dyDescent="0.25">
      <c r="A28" s="6"/>
      <c r="B28" s="185" t="s">
        <v>25</v>
      </c>
      <c r="C28" s="1104"/>
      <c r="D28" s="1105"/>
      <c r="E28" s="69">
        <f t="shared" si="1"/>
        <v>1429</v>
      </c>
      <c r="F28" s="24">
        <v>120</v>
      </c>
      <c r="G28" s="44">
        <v>125</v>
      </c>
      <c r="H28" s="256">
        <v>126</v>
      </c>
      <c r="I28" s="44">
        <v>122</v>
      </c>
      <c r="J28" s="44">
        <v>112</v>
      </c>
      <c r="K28" s="44">
        <v>119</v>
      </c>
      <c r="L28" s="44">
        <v>126</v>
      </c>
      <c r="M28" s="44">
        <v>121</v>
      </c>
      <c r="N28" s="44">
        <v>116</v>
      </c>
      <c r="O28" s="44">
        <v>116</v>
      </c>
      <c r="P28" s="44">
        <v>115</v>
      </c>
      <c r="Q28" s="45">
        <v>111</v>
      </c>
    </row>
    <row r="29" spans="1:17" s="2" customFormat="1" ht="24" customHeight="1" x14ac:dyDescent="0.25">
      <c r="A29" s="6"/>
      <c r="B29" s="185" t="s">
        <v>24</v>
      </c>
      <c r="C29" s="1104"/>
      <c r="D29" s="1105"/>
      <c r="E29" s="69">
        <f t="shared" si="1"/>
        <v>949</v>
      </c>
      <c r="F29" s="24">
        <v>78</v>
      </c>
      <c r="G29" s="44">
        <v>76</v>
      </c>
      <c r="H29" s="256">
        <v>76</v>
      </c>
      <c r="I29" s="44">
        <v>77</v>
      </c>
      <c r="J29" s="44">
        <v>82</v>
      </c>
      <c r="K29" s="44">
        <v>76</v>
      </c>
      <c r="L29" s="44">
        <v>75</v>
      </c>
      <c r="M29" s="44">
        <v>70</v>
      </c>
      <c r="N29" s="44">
        <v>72</v>
      </c>
      <c r="O29" s="44">
        <v>86</v>
      </c>
      <c r="P29" s="44">
        <v>89</v>
      </c>
      <c r="Q29" s="45">
        <v>92</v>
      </c>
    </row>
    <row r="30" spans="1:17" s="2" customFormat="1" ht="24" customHeight="1" x14ac:dyDescent="0.25">
      <c r="A30" s="6"/>
      <c r="B30" s="185" t="s">
        <v>26</v>
      </c>
      <c r="C30" s="1104"/>
      <c r="D30" s="1105"/>
      <c r="E30" s="69">
        <f t="shared" si="1"/>
        <v>1093</v>
      </c>
      <c r="F30" s="24">
        <v>82</v>
      </c>
      <c r="G30" s="44">
        <v>85</v>
      </c>
      <c r="H30" s="256">
        <v>92</v>
      </c>
      <c r="I30" s="44">
        <v>82</v>
      </c>
      <c r="J30" s="44">
        <v>74</v>
      </c>
      <c r="K30" s="44">
        <v>92</v>
      </c>
      <c r="L30" s="44">
        <v>91</v>
      </c>
      <c r="M30" s="44">
        <v>92</v>
      </c>
      <c r="N30" s="44">
        <v>100</v>
      </c>
      <c r="O30" s="44">
        <v>96</v>
      </c>
      <c r="P30" s="44">
        <v>102</v>
      </c>
      <c r="Q30" s="45">
        <v>105</v>
      </c>
    </row>
    <row r="31" spans="1:17" s="2" customFormat="1" ht="37.5" x14ac:dyDescent="0.25">
      <c r="A31" s="6"/>
      <c r="B31" s="49" t="s">
        <v>121</v>
      </c>
      <c r="C31" s="1104"/>
      <c r="D31" s="1105"/>
      <c r="E31" s="69">
        <f t="shared" si="1"/>
        <v>22</v>
      </c>
      <c r="F31" s="43">
        <v>2</v>
      </c>
      <c r="G31" s="44">
        <v>2</v>
      </c>
      <c r="H31" s="256">
        <v>4</v>
      </c>
      <c r="I31" s="44">
        <v>2</v>
      </c>
      <c r="J31" s="44">
        <v>2</v>
      </c>
      <c r="K31" s="44">
        <v>2</v>
      </c>
      <c r="L31" s="44">
        <v>2</v>
      </c>
      <c r="M31" s="44">
        <v>2</v>
      </c>
      <c r="N31" s="44">
        <v>2</v>
      </c>
      <c r="O31" s="44">
        <v>1</v>
      </c>
      <c r="P31" s="44">
        <v>1</v>
      </c>
      <c r="Q31" s="45">
        <v>0</v>
      </c>
    </row>
    <row r="32" spans="1:17" s="2" customFormat="1" x14ac:dyDescent="0.25">
      <c r="A32" s="6"/>
      <c r="B32" s="49" t="s">
        <v>256</v>
      </c>
      <c r="C32" s="261"/>
      <c r="D32" s="428"/>
      <c r="E32" s="69">
        <f t="shared" si="1"/>
        <v>211</v>
      </c>
      <c r="F32" s="43">
        <v>12</v>
      </c>
      <c r="G32" s="44">
        <v>14</v>
      </c>
      <c r="H32" s="256">
        <v>16</v>
      </c>
      <c r="I32" s="44">
        <v>14</v>
      </c>
      <c r="J32" s="44">
        <v>14</v>
      </c>
      <c r="K32" s="44">
        <v>17</v>
      </c>
      <c r="L32" s="44">
        <v>21</v>
      </c>
      <c r="M32" s="44">
        <v>21</v>
      </c>
      <c r="N32" s="44">
        <v>18</v>
      </c>
      <c r="O32" s="44">
        <v>19</v>
      </c>
      <c r="P32" s="44">
        <v>22</v>
      </c>
      <c r="Q32" s="45">
        <v>23</v>
      </c>
    </row>
    <row r="33" spans="1:17" s="2" customFormat="1" ht="24" customHeight="1" x14ac:dyDescent="0.25">
      <c r="A33" s="6"/>
      <c r="B33" s="46" t="s">
        <v>111</v>
      </c>
      <c r="C33" s="1106"/>
      <c r="D33" s="1107"/>
      <c r="E33" s="161">
        <f>SUM(F33:Q33)</f>
        <v>90</v>
      </c>
      <c r="F33" s="43">
        <v>10</v>
      </c>
      <c r="G33" s="44">
        <v>12</v>
      </c>
      <c r="H33" s="256">
        <v>9</v>
      </c>
      <c r="I33" s="44">
        <v>10</v>
      </c>
      <c r="J33" s="44">
        <v>0</v>
      </c>
      <c r="K33" s="256">
        <v>0</v>
      </c>
      <c r="L33" s="44">
        <v>5</v>
      </c>
      <c r="M33" s="44">
        <v>5</v>
      </c>
      <c r="N33" s="44">
        <v>5</v>
      </c>
      <c r="O33" s="44">
        <v>16</v>
      </c>
      <c r="P33" s="44">
        <v>10</v>
      </c>
      <c r="Q33" s="45">
        <v>8</v>
      </c>
    </row>
    <row r="34" spans="1:17" s="2" customFormat="1" ht="24" customHeight="1" x14ac:dyDescent="0.25">
      <c r="A34" s="6"/>
      <c r="B34" s="46" t="s">
        <v>138</v>
      </c>
      <c r="C34" s="1106"/>
      <c r="D34" s="1107"/>
      <c r="E34" s="164">
        <f>SUM(F34:Q34)</f>
        <v>77</v>
      </c>
      <c r="F34" s="30">
        <v>13</v>
      </c>
      <c r="G34" s="31">
        <v>5</v>
      </c>
      <c r="H34" s="234">
        <v>4</v>
      </c>
      <c r="I34" s="234">
        <v>8</v>
      </c>
      <c r="J34" s="234">
        <v>9</v>
      </c>
      <c r="K34" s="234">
        <v>3</v>
      </c>
      <c r="L34" s="234">
        <v>5</v>
      </c>
      <c r="M34" s="234">
        <v>10</v>
      </c>
      <c r="N34" s="234">
        <v>4</v>
      </c>
      <c r="O34" s="234">
        <v>6</v>
      </c>
      <c r="P34" s="234">
        <v>4</v>
      </c>
      <c r="Q34" s="276">
        <v>6</v>
      </c>
    </row>
    <row r="35" spans="1:17" s="2" customFormat="1" ht="24" hidden="1" customHeight="1" x14ac:dyDescent="0.25">
      <c r="A35" s="6"/>
      <c r="B35" s="186" t="s">
        <v>112</v>
      </c>
      <c r="C35" s="56"/>
      <c r="D35" s="57"/>
      <c r="E35" s="58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270"/>
    </row>
    <row r="36" spans="1:17" s="2" customFormat="1" ht="24" customHeight="1" x14ac:dyDescent="0.25">
      <c r="A36" s="6"/>
      <c r="B36" s="186" t="s">
        <v>113</v>
      </c>
      <c r="C36" s="1108"/>
      <c r="D36" s="1109"/>
      <c r="E36" s="161">
        <f t="shared" ref="E36:E41" si="2">SUM(F36:Q36)</f>
        <v>6</v>
      </c>
      <c r="F36" s="24">
        <v>0</v>
      </c>
      <c r="G36" s="229">
        <v>0</v>
      </c>
      <c r="H36" s="25">
        <v>0</v>
      </c>
      <c r="I36" s="25">
        <v>1</v>
      </c>
      <c r="J36" s="25">
        <v>0</v>
      </c>
      <c r="K36" s="25">
        <v>0</v>
      </c>
      <c r="L36" s="25">
        <v>0</v>
      </c>
      <c r="M36" s="25">
        <v>2</v>
      </c>
      <c r="N36" s="25">
        <v>1</v>
      </c>
      <c r="O36" s="25">
        <v>1</v>
      </c>
      <c r="P36" s="25">
        <v>0</v>
      </c>
      <c r="Q36" s="202">
        <v>1</v>
      </c>
    </row>
    <row r="37" spans="1:17" s="2" customFormat="1" ht="24" customHeight="1" x14ac:dyDescent="0.25">
      <c r="A37" s="6"/>
      <c r="B37" s="186" t="s">
        <v>139</v>
      </c>
      <c r="C37" s="1108"/>
      <c r="D37" s="1109"/>
      <c r="E37" s="161">
        <f t="shared" si="2"/>
        <v>8</v>
      </c>
      <c r="F37" s="24">
        <v>4</v>
      </c>
      <c r="G37" s="229">
        <v>1</v>
      </c>
      <c r="H37" s="25">
        <v>0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02">
        <v>2</v>
      </c>
    </row>
    <row r="38" spans="1:17" s="2" customFormat="1" ht="24" customHeight="1" x14ac:dyDescent="0.25">
      <c r="A38" s="6"/>
      <c r="B38" s="186" t="s">
        <v>114</v>
      </c>
      <c r="C38" s="1108"/>
      <c r="D38" s="1109"/>
      <c r="E38" s="161">
        <f t="shared" si="2"/>
        <v>5</v>
      </c>
      <c r="F38" s="43">
        <v>0</v>
      </c>
      <c r="G38" s="229">
        <v>0</v>
      </c>
      <c r="H38" s="44">
        <v>0</v>
      </c>
      <c r="I38" s="44">
        <v>1</v>
      </c>
      <c r="J38" s="44">
        <v>2</v>
      </c>
      <c r="K38" s="44">
        <v>0</v>
      </c>
      <c r="L38" s="44">
        <v>1</v>
      </c>
      <c r="M38" s="44">
        <v>1</v>
      </c>
      <c r="N38" s="44">
        <v>0</v>
      </c>
      <c r="O38" s="44">
        <v>0</v>
      </c>
      <c r="P38" s="44">
        <v>0</v>
      </c>
      <c r="Q38" s="202">
        <v>0</v>
      </c>
    </row>
    <row r="39" spans="1:17" s="2" customFormat="1" ht="24" customHeight="1" x14ac:dyDescent="0.25">
      <c r="A39" s="6"/>
      <c r="B39" s="186" t="s">
        <v>115</v>
      </c>
      <c r="C39" s="1108"/>
      <c r="D39" s="1109"/>
      <c r="E39" s="161">
        <f t="shared" si="2"/>
        <v>32</v>
      </c>
      <c r="F39" s="43">
        <v>7</v>
      </c>
      <c r="G39" s="229">
        <v>3</v>
      </c>
      <c r="H39" s="44">
        <v>4</v>
      </c>
      <c r="I39" s="44">
        <v>5</v>
      </c>
      <c r="J39" s="44">
        <v>4</v>
      </c>
      <c r="K39" s="44">
        <v>0</v>
      </c>
      <c r="L39" s="44">
        <v>0</v>
      </c>
      <c r="M39" s="44">
        <v>1</v>
      </c>
      <c r="N39" s="44">
        <v>2</v>
      </c>
      <c r="O39" s="44">
        <v>4</v>
      </c>
      <c r="P39" s="44">
        <v>1</v>
      </c>
      <c r="Q39" s="202">
        <v>1</v>
      </c>
    </row>
    <row r="40" spans="1:17" s="2" customFormat="1" ht="24" customHeight="1" x14ac:dyDescent="0.25">
      <c r="A40" s="6"/>
      <c r="B40" s="186" t="s">
        <v>117</v>
      </c>
      <c r="C40" s="1108"/>
      <c r="D40" s="1109"/>
      <c r="E40" s="161">
        <f t="shared" si="2"/>
        <v>19</v>
      </c>
      <c r="F40" s="43">
        <v>2</v>
      </c>
      <c r="G40" s="229">
        <v>1</v>
      </c>
      <c r="H40" s="44">
        <v>0</v>
      </c>
      <c r="I40" s="44">
        <v>1</v>
      </c>
      <c r="J40" s="44">
        <v>2</v>
      </c>
      <c r="K40" s="44">
        <v>2</v>
      </c>
      <c r="L40" s="44">
        <v>4</v>
      </c>
      <c r="M40" s="44">
        <v>1</v>
      </c>
      <c r="N40" s="44">
        <v>1</v>
      </c>
      <c r="O40" s="44">
        <v>1</v>
      </c>
      <c r="P40" s="44">
        <v>3</v>
      </c>
      <c r="Q40" s="202">
        <v>1</v>
      </c>
    </row>
    <row r="41" spans="1:17" s="2" customFormat="1" ht="24" customHeight="1" x14ac:dyDescent="0.25">
      <c r="A41" s="6"/>
      <c r="B41" s="246" t="s">
        <v>257</v>
      </c>
      <c r="C41" s="1110"/>
      <c r="D41" s="1111"/>
      <c r="E41" s="165">
        <f t="shared" si="2"/>
        <v>7</v>
      </c>
      <c r="F41" s="66">
        <v>0</v>
      </c>
      <c r="G41" s="247">
        <v>0</v>
      </c>
      <c r="H41" s="67">
        <v>0</v>
      </c>
      <c r="I41" s="67">
        <v>0</v>
      </c>
      <c r="J41" s="67">
        <v>0</v>
      </c>
      <c r="K41" s="67">
        <v>1</v>
      </c>
      <c r="L41" s="67">
        <v>0</v>
      </c>
      <c r="M41" s="67">
        <v>5</v>
      </c>
      <c r="N41" s="67">
        <v>0</v>
      </c>
      <c r="O41" s="67">
        <v>0</v>
      </c>
      <c r="P41" s="67">
        <v>0</v>
      </c>
      <c r="Q41" s="249">
        <v>1</v>
      </c>
    </row>
    <row r="42" spans="1:17" x14ac:dyDescent="0.3">
      <c r="A42" s="5"/>
      <c r="B42" s="1112" t="s">
        <v>120</v>
      </c>
      <c r="C42" s="1113"/>
      <c r="D42" s="1113"/>
      <c r="E42" s="1113"/>
      <c r="F42" s="1113"/>
      <c r="G42" s="1113"/>
      <c r="H42" s="1113"/>
      <c r="I42" s="1113"/>
      <c r="J42" s="1113"/>
      <c r="K42" s="1113"/>
      <c r="L42" s="1113"/>
      <c r="M42" s="1113"/>
      <c r="N42" s="1113"/>
      <c r="O42" s="1113"/>
      <c r="P42" s="1113"/>
      <c r="Q42" s="1114"/>
    </row>
    <row r="43" spans="1:17" s="2" customFormat="1" ht="24" customHeight="1" x14ac:dyDescent="0.25">
      <c r="A43" s="6"/>
      <c r="B43" s="21" t="s">
        <v>27</v>
      </c>
      <c r="C43" s="61">
        <v>7</v>
      </c>
      <c r="D43" s="62">
        <v>23</v>
      </c>
      <c r="E43" s="161">
        <f>SUM(F43:Q43)</f>
        <v>2</v>
      </c>
      <c r="F43" s="24">
        <v>0</v>
      </c>
      <c r="G43" s="229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467">
        <v>2</v>
      </c>
      <c r="O43" s="25">
        <v>0</v>
      </c>
      <c r="P43" s="25">
        <v>0</v>
      </c>
      <c r="Q43" s="202">
        <v>0</v>
      </c>
    </row>
    <row r="44" spans="1:17" s="2" customFormat="1" ht="24" customHeight="1" x14ac:dyDescent="0.25">
      <c r="A44" s="6"/>
      <c r="B44" s="46" t="s">
        <v>28</v>
      </c>
      <c r="C44" s="51">
        <v>15</v>
      </c>
      <c r="D44" s="52">
        <v>17</v>
      </c>
      <c r="E44" s="162">
        <f>SUM(F44:Q44)</f>
        <v>30</v>
      </c>
      <c r="F44" s="43">
        <v>7</v>
      </c>
      <c r="G44" s="229">
        <v>3</v>
      </c>
      <c r="H44" s="44">
        <v>4</v>
      </c>
      <c r="I44" s="44">
        <v>5</v>
      </c>
      <c r="J44" s="44">
        <v>4</v>
      </c>
      <c r="K44" s="44">
        <v>0</v>
      </c>
      <c r="L44" s="44">
        <v>0</v>
      </c>
      <c r="M44" s="44">
        <v>1</v>
      </c>
      <c r="N44" s="25">
        <v>0</v>
      </c>
      <c r="O44" s="44">
        <v>4</v>
      </c>
      <c r="P44" s="44">
        <v>1</v>
      </c>
      <c r="Q44" s="202">
        <v>1</v>
      </c>
    </row>
    <row r="45" spans="1:17" s="2" customFormat="1" ht="24" customHeight="1" x14ac:dyDescent="0.25">
      <c r="A45" s="6"/>
      <c r="B45" s="46" t="s">
        <v>34</v>
      </c>
      <c r="C45" s="53">
        <v>24</v>
      </c>
      <c r="D45" s="54">
        <v>31</v>
      </c>
      <c r="E45" s="164">
        <f>SUM(F45:Q45)</f>
        <v>19</v>
      </c>
      <c r="F45" s="43">
        <v>4</v>
      </c>
      <c r="G45" s="44">
        <v>0</v>
      </c>
      <c r="H45" s="44">
        <v>0</v>
      </c>
      <c r="I45" s="44">
        <v>2</v>
      </c>
      <c r="J45" s="44">
        <v>1</v>
      </c>
      <c r="K45" s="44">
        <v>0</v>
      </c>
      <c r="L45" s="44">
        <v>3</v>
      </c>
      <c r="M45" s="44">
        <v>1</v>
      </c>
      <c r="N45" s="44">
        <v>2</v>
      </c>
      <c r="O45" s="44">
        <v>2</v>
      </c>
      <c r="P45" s="44">
        <v>1</v>
      </c>
      <c r="Q45" s="202">
        <v>3</v>
      </c>
    </row>
    <row r="46" spans="1:17" s="2" customFormat="1" ht="24" hidden="1" customHeight="1" x14ac:dyDescent="0.25">
      <c r="A46" s="6"/>
      <c r="B46" s="46" t="s">
        <v>29</v>
      </c>
      <c r="C46" s="1104"/>
      <c r="D46" s="1105"/>
      <c r="E46" s="1115"/>
      <c r="F46" s="43">
        <v>28</v>
      </c>
      <c r="G46" s="44">
        <v>29</v>
      </c>
      <c r="H46" s="44">
        <v>30</v>
      </c>
      <c r="I46" s="354" t="s">
        <v>136</v>
      </c>
      <c r="J46" s="44">
        <v>36</v>
      </c>
      <c r="K46" s="44">
        <v>36</v>
      </c>
      <c r="L46" s="44">
        <v>38</v>
      </c>
      <c r="M46" s="44">
        <v>30</v>
      </c>
      <c r="N46" s="44">
        <v>30</v>
      </c>
      <c r="O46" s="44"/>
      <c r="P46" s="44"/>
      <c r="Q46" s="202"/>
    </row>
    <row r="47" spans="1:17" s="2" customFormat="1" ht="24" hidden="1" customHeight="1" x14ac:dyDescent="0.25">
      <c r="A47" s="6"/>
      <c r="B47" s="46" t="s">
        <v>30</v>
      </c>
      <c r="C47" s="1104"/>
      <c r="D47" s="1105"/>
      <c r="E47" s="1115"/>
      <c r="F47" s="195">
        <v>23</v>
      </c>
      <c r="G47" s="195">
        <v>29</v>
      </c>
      <c r="H47" s="195">
        <v>21</v>
      </c>
      <c r="I47" s="354" t="s">
        <v>136</v>
      </c>
      <c r="J47" s="354" t="s">
        <v>136</v>
      </c>
      <c r="K47" s="354" t="s">
        <v>136</v>
      </c>
      <c r="L47" s="354" t="s">
        <v>136</v>
      </c>
      <c r="M47" s="354" t="s">
        <v>136</v>
      </c>
      <c r="N47" s="195"/>
      <c r="O47" s="195"/>
      <c r="P47" s="44"/>
      <c r="Q47" s="202"/>
    </row>
    <row r="48" spans="1:17" s="2" customFormat="1" ht="24" hidden="1" customHeight="1" x14ac:dyDescent="0.25">
      <c r="A48" s="6"/>
      <c r="B48" s="46" t="s">
        <v>36</v>
      </c>
      <c r="C48" s="61">
        <v>52</v>
      </c>
      <c r="D48" s="62">
        <v>70</v>
      </c>
      <c r="E48" s="161">
        <f>SUM(F48:Q48)</f>
        <v>12</v>
      </c>
      <c r="F48" s="43">
        <v>6</v>
      </c>
      <c r="G48" s="44">
        <v>6</v>
      </c>
      <c r="H48" s="354" t="s">
        <v>136</v>
      </c>
      <c r="I48" s="354" t="s">
        <v>136</v>
      </c>
      <c r="J48" s="354" t="s">
        <v>136</v>
      </c>
      <c r="K48" s="354" t="s">
        <v>136</v>
      </c>
      <c r="L48" s="354" t="s">
        <v>136</v>
      </c>
      <c r="M48" s="44">
        <v>0</v>
      </c>
      <c r="N48" s="44">
        <v>0</v>
      </c>
      <c r="O48" s="44"/>
      <c r="P48" s="44"/>
      <c r="Q48" s="45"/>
    </row>
    <row r="49" spans="1:17" s="2" customFormat="1" ht="24" hidden="1" customHeight="1" x14ac:dyDescent="0.25">
      <c r="A49" s="6"/>
      <c r="B49" s="27" t="s">
        <v>35</v>
      </c>
      <c r="C49" s="53">
        <v>269</v>
      </c>
      <c r="D49" s="54">
        <v>300</v>
      </c>
      <c r="E49" s="164">
        <f>SUM(F49:Q49)</f>
        <v>250</v>
      </c>
      <c r="F49" s="30">
        <v>33</v>
      </c>
      <c r="G49" s="31">
        <v>22</v>
      </c>
      <c r="H49" s="195">
        <v>17</v>
      </c>
      <c r="I49" s="195">
        <v>23</v>
      </c>
      <c r="J49" s="195">
        <v>23</v>
      </c>
      <c r="K49" s="195">
        <v>32</v>
      </c>
      <c r="L49" s="31">
        <v>30</v>
      </c>
      <c r="M49" s="31">
        <v>34</v>
      </c>
      <c r="N49" s="31">
        <v>36</v>
      </c>
      <c r="O49" s="31"/>
      <c r="P49" s="31"/>
      <c r="Q49" s="32"/>
    </row>
    <row r="50" spans="1:17" x14ac:dyDescent="0.3">
      <c r="A50" s="5"/>
      <c r="B50" s="1093" t="s">
        <v>31</v>
      </c>
      <c r="C50" s="1094"/>
      <c r="D50" s="1094"/>
      <c r="E50" s="1094"/>
      <c r="F50" s="1094"/>
      <c r="G50" s="1094"/>
      <c r="H50" s="1094"/>
      <c r="I50" s="1094"/>
      <c r="J50" s="1094"/>
      <c r="K50" s="1094"/>
      <c r="L50" s="1094"/>
      <c r="M50" s="1094"/>
      <c r="N50" s="1094"/>
      <c r="O50" s="1094"/>
      <c r="P50" s="1094"/>
      <c r="Q50" s="1095"/>
    </row>
    <row r="51" spans="1:17" s="2" customFormat="1" ht="24" customHeight="1" x14ac:dyDescent="0.25">
      <c r="A51" s="6"/>
      <c r="B51" s="21" t="s">
        <v>38</v>
      </c>
      <c r="C51" s="1119"/>
      <c r="D51" s="1120"/>
      <c r="E51" s="690">
        <f>SUM(F51:Q51)</f>
        <v>988</v>
      </c>
      <c r="F51" s="24">
        <v>80</v>
      </c>
      <c r="G51" s="25">
        <v>80</v>
      </c>
      <c r="H51" s="25">
        <v>82</v>
      </c>
      <c r="I51" s="25">
        <v>83</v>
      </c>
      <c r="J51" s="25">
        <v>83</v>
      </c>
      <c r="K51" s="25">
        <v>83</v>
      </c>
      <c r="L51" s="25">
        <v>85</v>
      </c>
      <c r="M51" s="25">
        <v>83</v>
      </c>
      <c r="N51" s="25">
        <v>81</v>
      </c>
      <c r="O51" s="25">
        <v>82</v>
      </c>
      <c r="P51" s="25">
        <v>83</v>
      </c>
      <c r="Q51" s="26">
        <v>83</v>
      </c>
    </row>
    <row r="52" spans="1:17" s="2" customFormat="1" ht="24" customHeight="1" x14ac:dyDescent="0.25">
      <c r="A52" s="6"/>
      <c r="B52" s="185" t="s">
        <v>140</v>
      </c>
      <c r="C52" s="1119"/>
      <c r="D52" s="1120"/>
      <c r="E52" s="690">
        <f>SUM(F52:Q52)</f>
        <v>27</v>
      </c>
      <c r="F52" s="43">
        <v>1</v>
      </c>
      <c r="G52" s="44">
        <v>3</v>
      </c>
      <c r="H52" s="44">
        <v>2</v>
      </c>
      <c r="I52" s="44">
        <v>2</v>
      </c>
      <c r="J52" s="44">
        <v>2</v>
      </c>
      <c r="K52" s="44">
        <v>2</v>
      </c>
      <c r="L52" s="44">
        <v>2</v>
      </c>
      <c r="M52" s="44">
        <v>5</v>
      </c>
      <c r="N52" s="44">
        <v>1</v>
      </c>
      <c r="O52" s="44">
        <v>4</v>
      </c>
      <c r="P52" s="44">
        <v>2</v>
      </c>
      <c r="Q52" s="45">
        <v>1</v>
      </c>
    </row>
    <row r="53" spans="1:17" s="2" customFormat="1" ht="24" customHeight="1" x14ac:dyDescent="0.25">
      <c r="A53" s="6"/>
      <c r="B53" s="185" t="s">
        <v>141</v>
      </c>
      <c r="C53" s="1119"/>
      <c r="D53" s="1120"/>
      <c r="E53" s="690">
        <f>SUM(F53:Q53)</f>
        <v>21</v>
      </c>
      <c r="F53" s="43">
        <v>1</v>
      </c>
      <c r="G53" s="44">
        <v>2</v>
      </c>
      <c r="H53" s="44">
        <v>1</v>
      </c>
      <c r="I53" s="44">
        <v>1</v>
      </c>
      <c r="J53" s="44">
        <v>2</v>
      </c>
      <c r="K53" s="44">
        <v>0</v>
      </c>
      <c r="L53" s="44">
        <v>1</v>
      </c>
      <c r="M53" s="44">
        <v>3</v>
      </c>
      <c r="N53" s="44">
        <v>2</v>
      </c>
      <c r="O53" s="44">
        <v>0</v>
      </c>
      <c r="P53" s="44">
        <v>1</v>
      </c>
      <c r="Q53" s="45">
        <v>7</v>
      </c>
    </row>
    <row r="54" spans="1:17" s="2" customFormat="1" ht="24" customHeight="1" x14ac:dyDescent="0.25">
      <c r="A54" s="6"/>
      <c r="B54" s="70" t="s">
        <v>149</v>
      </c>
      <c r="C54" s="1119"/>
      <c r="D54" s="1120"/>
      <c r="E54" s="690">
        <f>SUM(F54:Q54)</f>
        <v>195</v>
      </c>
      <c r="F54" s="195">
        <v>17</v>
      </c>
      <c r="G54" s="195">
        <v>19</v>
      </c>
      <c r="H54" s="195">
        <v>20</v>
      </c>
      <c r="I54" s="195">
        <v>13</v>
      </c>
      <c r="J54" s="195">
        <v>16</v>
      </c>
      <c r="K54" s="195">
        <v>18</v>
      </c>
      <c r="L54" s="195">
        <v>16</v>
      </c>
      <c r="M54" s="195">
        <v>22</v>
      </c>
      <c r="N54" s="195">
        <v>24</v>
      </c>
      <c r="O54" s="195">
        <v>8</v>
      </c>
      <c r="P54" s="195">
        <v>9</v>
      </c>
      <c r="Q54" s="202">
        <v>13</v>
      </c>
    </row>
    <row r="55" spans="1:17" s="2" customFormat="1" ht="24" customHeight="1" x14ac:dyDescent="0.25">
      <c r="A55" s="6"/>
      <c r="B55" s="71" t="s">
        <v>37</v>
      </c>
      <c r="C55" s="291">
        <v>0</v>
      </c>
      <c r="D55" s="292">
        <v>57</v>
      </c>
      <c r="E55" s="166">
        <f>SUM(F55:Q55)</f>
        <v>77</v>
      </c>
      <c r="F55" s="30">
        <v>0</v>
      </c>
      <c r="G55" s="31">
        <v>18</v>
      </c>
      <c r="H55" s="31">
        <v>0</v>
      </c>
      <c r="I55" s="31">
        <v>0</v>
      </c>
      <c r="J55" s="31">
        <v>24</v>
      </c>
      <c r="K55" s="31">
        <v>0</v>
      </c>
      <c r="L55" s="31">
        <v>0</v>
      </c>
      <c r="M55" s="31">
        <v>1</v>
      </c>
      <c r="N55" s="31">
        <v>29</v>
      </c>
      <c r="O55" s="31">
        <v>0</v>
      </c>
      <c r="P55" s="31">
        <v>4</v>
      </c>
      <c r="Q55" s="32">
        <v>1</v>
      </c>
    </row>
    <row r="56" spans="1:17" x14ac:dyDescent="0.3">
      <c r="A56" s="5"/>
      <c r="B56" s="1116" t="s">
        <v>39</v>
      </c>
      <c r="C56" s="1117"/>
      <c r="D56" s="1117"/>
      <c r="E56" s="1117"/>
      <c r="F56" s="1117"/>
      <c r="G56" s="1117"/>
      <c r="H56" s="1117"/>
      <c r="I56" s="1117"/>
      <c r="J56" s="1117"/>
      <c r="K56" s="1117"/>
      <c r="L56" s="1117"/>
      <c r="M56" s="1117"/>
      <c r="N56" s="1117"/>
      <c r="O56" s="1117"/>
      <c r="P56" s="1117"/>
      <c r="Q56" s="1118"/>
    </row>
    <row r="57" spans="1:17" s="2" customFormat="1" ht="24" customHeight="1" x14ac:dyDescent="0.25">
      <c r="A57" s="6"/>
      <c r="B57" s="72" t="s">
        <v>67</v>
      </c>
      <c r="C57" s="73">
        <v>195</v>
      </c>
      <c r="D57" s="40">
        <v>403</v>
      </c>
      <c r="E57" s="159">
        <f t="shared" ref="E57:E62" si="3">SUM(F57:Q57)</f>
        <v>290</v>
      </c>
      <c r="F57" s="74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61</v>
      </c>
      <c r="Q57" s="76">
        <v>229</v>
      </c>
    </row>
    <row r="58" spans="1:17" s="2" customFormat="1" ht="24" customHeight="1" x14ac:dyDescent="0.25">
      <c r="A58" s="6"/>
      <c r="B58" s="185" t="s">
        <v>68</v>
      </c>
      <c r="C58" s="77">
        <v>174</v>
      </c>
      <c r="D58" s="42">
        <v>379</v>
      </c>
      <c r="E58" s="163">
        <f t="shared" si="3"/>
        <v>224</v>
      </c>
      <c r="F58" s="78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25</v>
      </c>
      <c r="Q58" s="80">
        <v>199</v>
      </c>
    </row>
    <row r="59" spans="1:17" s="2" customFormat="1" ht="24" customHeight="1" x14ac:dyDescent="0.25">
      <c r="A59" s="6"/>
      <c r="B59" s="70" t="s">
        <v>42</v>
      </c>
      <c r="C59" s="77">
        <v>749</v>
      </c>
      <c r="D59" s="42">
        <v>1895</v>
      </c>
      <c r="E59" s="163">
        <f t="shared" si="3"/>
        <v>1882</v>
      </c>
      <c r="F59" s="78">
        <v>0</v>
      </c>
      <c r="G59" s="79">
        <v>0</v>
      </c>
      <c r="H59" s="79">
        <v>87</v>
      </c>
      <c r="I59" s="79">
        <v>616</v>
      </c>
      <c r="J59" s="79">
        <v>619</v>
      </c>
      <c r="K59" s="79">
        <v>560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80">
        <v>0</v>
      </c>
    </row>
    <row r="60" spans="1:17" s="2" customFormat="1" ht="24" customHeight="1" x14ac:dyDescent="0.25">
      <c r="A60" s="6"/>
      <c r="B60" s="185" t="s">
        <v>156</v>
      </c>
      <c r="C60" s="77">
        <v>679</v>
      </c>
      <c r="D60" s="42">
        <v>1758</v>
      </c>
      <c r="E60" s="163">
        <f t="shared" si="3"/>
        <v>1796</v>
      </c>
      <c r="F60" s="78">
        <v>0</v>
      </c>
      <c r="G60" s="79">
        <v>0</v>
      </c>
      <c r="H60" s="79">
        <v>1</v>
      </c>
      <c r="I60" s="79">
        <v>616</v>
      </c>
      <c r="J60" s="79">
        <v>619</v>
      </c>
      <c r="K60" s="79">
        <v>560</v>
      </c>
      <c r="L60" s="79">
        <v>0</v>
      </c>
      <c r="M60" s="79">
        <v>0</v>
      </c>
      <c r="N60" s="79">
        <v>0</v>
      </c>
      <c r="O60" s="79">
        <v>0</v>
      </c>
      <c r="P60" s="79">
        <v>0</v>
      </c>
      <c r="Q60" s="80">
        <v>0</v>
      </c>
    </row>
    <row r="61" spans="1:17" s="2" customFormat="1" ht="24" customHeight="1" x14ac:dyDescent="0.25">
      <c r="A61" s="6"/>
      <c r="B61" s="70" t="s">
        <v>41</v>
      </c>
      <c r="C61" s="77">
        <v>1265</v>
      </c>
      <c r="D61" s="42">
        <v>3325</v>
      </c>
      <c r="E61" s="163">
        <f t="shared" si="3"/>
        <v>3095</v>
      </c>
      <c r="F61" s="78">
        <v>0</v>
      </c>
      <c r="G61" s="79">
        <v>0</v>
      </c>
      <c r="H61" s="79">
        <v>106</v>
      </c>
      <c r="I61" s="79">
        <v>980</v>
      </c>
      <c r="J61" s="79">
        <v>1041</v>
      </c>
      <c r="K61" s="79">
        <v>968</v>
      </c>
      <c r="L61" s="79">
        <v>0</v>
      </c>
      <c r="M61" s="79">
        <v>0</v>
      </c>
      <c r="N61" s="79">
        <v>0</v>
      </c>
      <c r="O61" s="79">
        <v>0</v>
      </c>
      <c r="P61" s="79">
        <v>0</v>
      </c>
      <c r="Q61" s="80">
        <v>0</v>
      </c>
    </row>
    <row r="62" spans="1:17" s="2" customFormat="1" ht="24" customHeight="1" x14ac:dyDescent="0.25">
      <c r="A62" s="6"/>
      <c r="B62" s="189" t="s">
        <v>157</v>
      </c>
      <c r="C62" s="119">
        <v>1166</v>
      </c>
      <c r="D62" s="355">
        <v>3197</v>
      </c>
      <c r="E62" s="356">
        <f t="shared" si="3"/>
        <v>2982</v>
      </c>
      <c r="F62" s="357">
        <v>0</v>
      </c>
      <c r="G62" s="122">
        <v>0</v>
      </c>
      <c r="H62" s="122">
        <v>1</v>
      </c>
      <c r="I62" s="122">
        <v>972</v>
      </c>
      <c r="J62" s="122">
        <v>1041</v>
      </c>
      <c r="K62" s="122">
        <v>968</v>
      </c>
      <c r="L62" s="122">
        <v>0</v>
      </c>
      <c r="M62" s="122">
        <v>0</v>
      </c>
      <c r="N62" s="122">
        <v>0</v>
      </c>
      <c r="O62" s="122">
        <v>0</v>
      </c>
      <c r="P62" s="122">
        <v>0</v>
      </c>
      <c r="Q62" s="123">
        <v>0</v>
      </c>
    </row>
    <row r="63" spans="1:17" ht="24" customHeight="1" x14ac:dyDescent="0.3">
      <c r="A63" s="5"/>
      <c r="B63" s="1112" t="s">
        <v>240</v>
      </c>
      <c r="C63" s="1113"/>
      <c r="D63" s="1113"/>
      <c r="E63" s="1113"/>
      <c r="F63" s="1113"/>
      <c r="G63" s="1113"/>
      <c r="H63" s="1113"/>
      <c r="I63" s="1113"/>
      <c r="J63" s="1113"/>
      <c r="K63" s="1113"/>
      <c r="L63" s="1113"/>
      <c r="M63" s="1113"/>
      <c r="N63" s="1113"/>
      <c r="O63" s="1113"/>
      <c r="P63" s="1113"/>
      <c r="Q63" s="1114"/>
    </row>
    <row r="64" spans="1:17" s="2" customFormat="1" ht="24" customHeight="1" x14ac:dyDescent="0.25">
      <c r="A64" s="6"/>
      <c r="B64" s="21" t="s">
        <v>241</v>
      </c>
      <c r="C64" s="261"/>
      <c r="D64" s="428"/>
      <c r="E64" s="429">
        <f t="shared" ref="E64:E71" si="4">SUM(F64:Q64)</f>
        <v>2755926.6100000003</v>
      </c>
      <c r="F64" s="421">
        <f>220296.22-499.1</f>
        <v>219797.12</v>
      </c>
      <c r="G64" s="430">
        <f>238147.44-6413.08</f>
        <v>231734.36000000002</v>
      </c>
      <c r="H64" s="422">
        <f>231505.27-30.64</f>
        <v>231474.62999999998</v>
      </c>
      <c r="I64" s="422">
        <f>230206.57-5810.83</f>
        <v>224395.74000000002</v>
      </c>
      <c r="J64" s="422">
        <f>227860.59-550.45</f>
        <v>227310.13999999998</v>
      </c>
      <c r="K64" s="422">
        <f>234965.35-498.64</f>
        <v>234466.71</v>
      </c>
      <c r="L64" s="422">
        <f>242565.01-9178.09</f>
        <v>233386.92</v>
      </c>
      <c r="M64" s="422">
        <v>226789.04</v>
      </c>
      <c r="N64" s="468">
        <v>221773.31</v>
      </c>
      <c r="O64" s="422">
        <v>232690.44</v>
      </c>
      <c r="P64" s="422">
        <v>235455.52</v>
      </c>
      <c r="Q64" s="431">
        <v>236652.68</v>
      </c>
    </row>
    <row r="65" spans="1:18" s="2" customFormat="1" ht="24" customHeight="1" x14ac:dyDescent="0.25">
      <c r="A65" s="6"/>
      <c r="B65" s="46" t="s">
        <v>242</v>
      </c>
      <c r="C65" s="261"/>
      <c r="D65" s="428"/>
      <c r="E65" s="432">
        <f t="shared" si="4"/>
        <v>34195.85</v>
      </c>
      <c r="F65" s="423">
        <v>2711.54</v>
      </c>
      <c r="G65" s="430">
        <v>2861.42</v>
      </c>
      <c r="H65" s="424">
        <v>2819.84</v>
      </c>
      <c r="I65" s="424">
        <v>2831.21</v>
      </c>
      <c r="J65" s="424">
        <v>2761.33</v>
      </c>
      <c r="K65" s="424">
        <v>2714.87</v>
      </c>
      <c r="L65" s="424">
        <v>2842.42</v>
      </c>
      <c r="M65" s="424">
        <v>2978.38</v>
      </c>
      <c r="N65" s="422">
        <v>2864.5</v>
      </c>
      <c r="O65" s="424">
        <v>3024.77</v>
      </c>
      <c r="P65" s="424">
        <v>2893.61</v>
      </c>
      <c r="Q65" s="431">
        <v>2891.96</v>
      </c>
    </row>
    <row r="66" spans="1:18" s="2" customFormat="1" ht="24" customHeight="1" x14ac:dyDescent="0.25">
      <c r="A66" s="6"/>
      <c r="B66" s="46" t="s">
        <v>243</v>
      </c>
      <c r="C66" s="261"/>
      <c r="D66" s="428"/>
      <c r="E66" s="433">
        <f t="shared" si="4"/>
        <v>108307.32999999999</v>
      </c>
      <c r="F66" s="423">
        <f>7059.78+12510</f>
        <v>19569.78</v>
      </c>
      <c r="G66" s="424">
        <v>4230</v>
      </c>
      <c r="H66" s="424">
        <v>1190</v>
      </c>
      <c r="I66" s="424">
        <f>13250+11662.43</f>
        <v>24912.43</v>
      </c>
      <c r="J66" s="424">
        <v>690</v>
      </c>
      <c r="K66" s="424">
        <v>530</v>
      </c>
      <c r="L66" s="424">
        <f>13100+10850</f>
        <v>23950</v>
      </c>
      <c r="M66" s="424">
        <v>1400</v>
      </c>
      <c r="N66" s="424">
        <v>430</v>
      </c>
      <c r="O66" s="424">
        <f>12155.12+13990</f>
        <v>26145.120000000003</v>
      </c>
      <c r="P66" s="424">
        <v>4670</v>
      </c>
      <c r="Q66" s="431">
        <v>590</v>
      </c>
    </row>
    <row r="67" spans="1:18" s="2" customFormat="1" ht="24" customHeight="1" x14ac:dyDescent="0.25">
      <c r="A67" s="6"/>
      <c r="B67" s="27" t="s">
        <v>244</v>
      </c>
      <c r="C67" s="261"/>
      <c r="D67" s="428"/>
      <c r="E67" s="432">
        <f t="shared" si="4"/>
        <v>15228.740000000002</v>
      </c>
      <c r="F67" s="425">
        <v>61</v>
      </c>
      <c r="G67" s="426">
        <v>2227.19</v>
      </c>
      <c r="H67" s="434">
        <v>863.08</v>
      </c>
      <c r="I67" s="434">
        <v>280</v>
      </c>
      <c r="J67" s="434">
        <v>1788</v>
      </c>
      <c r="K67" s="434">
        <v>218.4</v>
      </c>
      <c r="L67" s="426">
        <v>329</v>
      </c>
      <c r="M67" s="426">
        <v>271.5</v>
      </c>
      <c r="N67" s="426">
        <v>43.75</v>
      </c>
      <c r="O67" s="426">
        <v>1240</v>
      </c>
      <c r="P67" s="426">
        <v>5690.62</v>
      </c>
      <c r="Q67" s="435">
        <v>2216.1999999999998</v>
      </c>
    </row>
    <row r="68" spans="1:18" s="2" customFormat="1" ht="24" customHeight="1" x14ac:dyDescent="0.25">
      <c r="A68" s="6"/>
      <c r="B68" s="21" t="s">
        <v>245</v>
      </c>
      <c r="C68" s="1119"/>
      <c r="D68" s="1120"/>
      <c r="E68" s="432">
        <f t="shared" si="4"/>
        <v>165962.40000000002</v>
      </c>
      <c r="F68" s="421">
        <f>6674.13+200</f>
        <v>6874.13</v>
      </c>
      <c r="G68" s="422">
        <f>13916.34+393</f>
        <v>14309.34</v>
      </c>
      <c r="H68" s="422">
        <v>11849.93</v>
      </c>
      <c r="I68" s="422">
        <v>4116.97</v>
      </c>
      <c r="J68" s="422">
        <f>10248.09+280</f>
        <v>10528.09</v>
      </c>
      <c r="K68" s="422">
        <v>15232.6</v>
      </c>
      <c r="L68" s="422">
        <f>15198.09+315</f>
        <v>15513.09</v>
      </c>
      <c r="M68" s="422">
        <v>7009.63</v>
      </c>
      <c r="N68" s="422">
        <f>8289.09+249.11</f>
        <v>8538.2000000000007</v>
      </c>
      <c r="O68" s="422">
        <v>18433.599999999999</v>
      </c>
      <c r="P68" s="422">
        <f>13463.6+474.88</f>
        <v>13938.48</v>
      </c>
      <c r="Q68" s="436">
        <f>38648.09+970.25</f>
        <v>39618.339999999997</v>
      </c>
    </row>
    <row r="69" spans="1:18" s="2" customFormat="1" ht="24" customHeight="1" x14ac:dyDescent="0.25">
      <c r="A69" s="6"/>
      <c r="B69" s="46" t="s">
        <v>246</v>
      </c>
      <c r="C69" s="1119"/>
      <c r="D69" s="1120"/>
      <c r="E69" s="432">
        <f t="shared" si="4"/>
        <v>47243.45</v>
      </c>
      <c r="F69" s="423">
        <v>5835.83</v>
      </c>
      <c r="G69" s="424">
        <v>605.83000000000004</v>
      </c>
      <c r="H69" s="424">
        <v>2373</v>
      </c>
      <c r="I69" s="424">
        <v>1490.91</v>
      </c>
      <c r="J69" s="424">
        <v>7363.32</v>
      </c>
      <c r="K69" s="424">
        <v>5120</v>
      </c>
      <c r="L69" s="424">
        <v>1467.46</v>
      </c>
      <c r="M69" s="424">
        <v>1461.8</v>
      </c>
      <c r="N69" s="424">
        <v>3265.76</v>
      </c>
      <c r="O69" s="424">
        <v>4517.5200000000004</v>
      </c>
      <c r="P69" s="424">
        <v>3802.44</v>
      </c>
      <c r="Q69" s="437">
        <v>9939.58</v>
      </c>
    </row>
    <row r="70" spans="1:18" s="2" customFormat="1" ht="24" customHeight="1" x14ac:dyDescent="0.25">
      <c r="A70" s="6"/>
      <c r="B70" s="46" t="s">
        <v>247</v>
      </c>
      <c r="C70" s="1119"/>
      <c r="D70" s="1120"/>
      <c r="E70" s="432">
        <f t="shared" si="4"/>
        <v>65578.239999999991</v>
      </c>
      <c r="F70" s="423">
        <v>1334.38</v>
      </c>
      <c r="G70" s="424">
        <v>7431.51</v>
      </c>
      <c r="H70" s="424">
        <v>1799</v>
      </c>
      <c r="I70" s="424">
        <v>32048.62</v>
      </c>
      <c r="J70" s="424">
        <v>291.5</v>
      </c>
      <c r="K70" s="424">
        <v>0</v>
      </c>
      <c r="L70" s="424">
        <v>4995.1000000000004</v>
      </c>
      <c r="M70" s="424">
        <v>5472.55</v>
      </c>
      <c r="N70" s="424">
        <v>1934.99</v>
      </c>
      <c r="O70" s="424">
        <v>2529.65</v>
      </c>
      <c r="P70" s="424">
        <v>3315.44</v>
      </c>
      <c r="Q70" s="437">
        <v>4425.5</v>
      </c>
    </row>
    <row r="71" spans="1:18" s="2" customFormat="1" ht="24" customHeight="1" x14ac:dyDescent="0.25">
      <c r="A71" s="6"/>
      <c r="B71" s="442" t="s">
        <v>248</v>
      </c>
      <c r="C71" s="264"/>
      <c r="D71" s="265"/>
      <c r="E71" s="438">
        <f t="shared" si="4"/>
        <v>3333</v>
      </c>
      <c r="F71" s="445">
        <v>1422</v>
      </c>
      <c r="G71" s="446">
        <v>0</v>
      </c>
      <c r="H71" s="446">
        <v>489</v>
      </c>
      <c r="I71" s="446">
        <v>0</v>
      </c>
      <c r="J71" s="446">
        <v>1162</v>
      </c>
      <c r="K71" s="446">
        <v>0</v>
      </c>
      <c r="L71" s="446">
        <v>0</v>
      </c>
      <c r="M71" s="446">
        <v>0</v>
      </c>
      <c r="N71" s="446">
        <v>0</v>
      </c>
      <c r="O71" s="446">
        <v>0</v>
      </c>
      <c r="P71" s="446">
        <v>0</v>
      </c>
      <c r="Q71" s="447">
        <v>260</v>
      </c>
    </row>
    <row r="72" spans="1:18" s="2" customFormat="1" ht="24" customHeight="1" x14ac:dyDescent="0.25">
      <c r="A72" s="6"/>
      <c r="B72" s="443" t="s">
        <v>249</v>
      </c>
      <c r="C72" s="264"/>
      <c r="D72" s="265"/>
      <c r="E72" s="441">
        <f t="shared" ref="E72:J72" si="5">SUM(E64:E71)</f>
        <v>3195775.620000001</v>
      </c>
      <c r="F72" s="448">
        <f t="shared" si="5"/>
        <v>257605.78</v>
      </c>
      <c r="G72" s="449">
        <f t="shared" si="5"/>
        <v>263399.65000000002</v>
      </c>
      <c r="H72" s="453">
        <f t="shared" si="5"/>
        <v>252858.47999999995</v>
      </c>
      <c r="I72" s="449">
        <f t="shared" si="5"/>
        <v>290075.88</v>
      </c>
      <c r="J72" s="449">
        <f t="shared" si="5"/>
        <v>251894.37999999998</v>
      </c>
      <c r="K72" s="449">
        <f>SUM(K64:K71)</f>
        <v>258282.58</v>
      </c>
      <c r="L72" s="449">
        <f>SUM(L64:L71)</f>
        <v>282483.99000000005</v>
      </c>
      <c r="M72" s="449">
        <f>SUM(M64:M71)</f>
        <v>245382.9</v>
      </c>
      <c r="N72" s="449">
        <f>SUM(N64:N71)-1791.93</f>
        <v>237058.58000000002</v>
      </c>
      <c r="O72" s="453">
        <f>SUM(O64:O71)-9923.8</f>
        <v>278657.3</v>
      </c>
      <c r="P72" s="449">
        <f>SUM(P64:P71)-3995.81</f>
        <v>265770.3</v>
      </c>
      <c r="Q72" s="477">
        <f>SUM(Q64:Q71)-5378.13</f>
        <v>291216.13</v>
      </c>
      <c r="R72" s="440"/>
    </row>
    <row r="73" spans="1:18" s="2" customFormat="1" ht="24" customHeight="1" x14ac:dyDescent="0.25">
      <c r="A73" s="6"/>
      <c r="B73" s="444" t="s">
        <v>250</v>
      </c>
      <c r="C73" s="262"/>
      <c r="D73" s="282"/>
      <c r="E73" s="439">
        <f>SUM(F73:Q73)</f>
        <v>112492.32</v>
      </c>
      <c r="F73" s="450">
        <f>6024.11+320+487.38</f>
        <v>6831.49</v>
      </c>
      <c r="G73" s="451">
        <f>7101.51+5839</f>
        <v>12940.51</v>
      </c>
      <c r="H73" s="451">
        <f>4624+1799</f>
        <v>6423</v>
      </c>
      <c r="I73" s="451">
        <f>4667+31048.62+160</f>
        <v>35875.619999999995</v>
      </c>
      <c r="J73" s="451">
        <f>4624+291.5</f>
        <v>4915.5</v>
      </c>
      <c r="K73" s="451">
        <v>4667</v>
      </c>
      <c r="L73" s="451">
        <v>8297.1</v>
      </c>
      <c r="M73" s="451">
        <f>4538+3846.25</f>
        <v>8384.25</v>
      </c>
      <c r="N73" s="451">
        <f>4667+2376+358</f>
        <v>7401</v>
      </c>
      <c r="O73" s="451">
        <v>7438.25</v>
      </c>
      <c r="P73" s="451">
        <f>4667+291.2+3070.4</f>
        <v>8028.6</v>
      </c>
      <c r="Q73" s="452">
        <v>1290</v>
      </c>
    </row>
    <row r="74" spans="1:18" ht="24" customHeight="1" x14ac:dyDescent="0.3">
      <c r="A74" s="5"/>
      <c r="B74" s="1121" t="s">
        <v>43</v>
      </c>
      <c r="C74" s="1122"/>
      <c r="D74" s="1122"/>
      <c r="E74" s="1122"/>
      <c r="F74" s="1122"/>
      <c r="G74" s="1122"/>
      <c r="H74" s="1122"/>
      <c r="I74" s="1122"/>
      <c r="J74" s="1122"/>
      <c r="K74" s="1122"/>
      <c r="L74" s="1122"/>
      <c r="M74" s="1122"/>
      <c r="N74" s="1122"/>
      <c r="O74" s="1122"/>
      <c r="P74" s="1122"/>
      <c r="Q74" s="1123"/>
    </row>
    <row r="75" spans="1:18" ht="24" customHeight="1" x14ac:dyDescent="0.3">
      <c r="A75" s="5"/>
      <c r="B75" s="1116" t="s">
        <v>44</v>
      </c>
      <c r="C75" s="1117"/>
      <c r="D75" s="1117"/>
      <c r="E75" s="1117"/>
      <c r="F75" s="1117"/>
      <c r="G75" s="1117"/>
      <c r="H75" s="1117"/>
      <c r="I75" s="1117"/>
      <c r="J75" s="1117"/>
      <c r="K75" s="1117"/>
      <c r="L75" s="1117"/>
      <c r="M75" s="1117"/>
      <c r="N75" s="1117"/>
      <c r="O75" s="1117"/>
      <c r="P75" s="1117"/>
      <c r="Q75" s="1118"/>
    </row>
    <row r="76" spans="1:18" s="2" customFormat="1" ht="24" customHeight="1" x14ac:dyDescent="0.25">
      <c r="A76" s="6"/>
      <c r="B76" s="72" t="s">
        <v>45</v>
      </c>
      <c r="C76" s="291">
        <v>372</v>
      </c>
      <c r="D76" s="292">
        <v>475</v>
      </c>
      <c r="E76" s="161">
        <f>SUM(F76:Q76)</f>
        <v>259</v>
      </c>
      <c r="F76" s="24">
        <v>28</v>
      </c>
      <c r="G76" s="25">
        <v>24</v>
      </c>
      <c r="H76" s="25">
        <v>18</v>
      </c>
      <c r="I76" s="25">
        <v>20</v>
      </c>
      <c r="J76" s="25">
        <v>17</v>
      </c>
      <c r="K76" s="25">
        <v>14</v>
      </c>
      <c r="L76" s="25">
        <v>15</v>
      </c>
      <c r="M76" s="2">
        <v>30</v>
      </c>
      <c r="N76" s="386">
        <v>21</v>
      </c>
      <c r="O76" s="25">
        <v>21</v>
      </c>
      <c r="P76" s="25">
        <v>25</v>
      </c>
      <c r="Q76" s="26">
        <v>26</v>
      </c>
    </row>
    <row r="77" spans="1:18" s="2" customFormat="1" ht="24" customHeight="1" x14ac:dyDescent="0.25">
      <c r="A77" s="6"/>
      <c r="B77" s="70" t="s">
        <v>49</v>
      </c>
      <c r="C77" s="1119"/>
      <c r="D77" s="1120"/>
      <c r="E77" s="162">
        <f>SUM(F77:Q77)</f>
        <v>14</v>
      </c>
      <c r="F77" s="43" t="s">
        <v>144</v>
      </c>
      <c r="G77" s="44">
        <v>1</v>
      </c>
      <c r="H77" s="44">
        <v>3</v>
      </c>
      <c r="I77" s="44">
        <v>2</v>
      </c>
      <c r="J77" s="44">
        <v>1</v>
      </c>
      <c r="K77" s="44">
        <v>2</v>
      </c>
      <c r="L77" s="44">
        <v>0</v>
      </c>
      <c r="M77" s="44">
        <v>1</v>
      </c>
      <c r="N77" s="44">
        <v>0</v>
      </c>
      <c r="O77" s="44">
        <v>2</v>
      </c>
      <c r="P77" s="44">
        <v>0</v>
      </c>
      <c r="Q77" s="45">
        <v>2</v>
      </c>
    </row>
    <row r="78" spans="1:18" s="2" customFormat="1" ht="24" customHeight="1" x14ac:dyDescent="0.25">
      <c r="A78" s="6"/>
      <c r="B78" s="70" t="s">
        <v>46</v>
      </c>
      <c r="C78" s="1119"/>
      <c r="D78" s="1120"/>
      <c r="E78" s="162">
        <f>SUM(F78:Q78)</f>
        <v>817</v>
      </c>
      <c r="F78" s="195">
        <v>72</v>
      </c>
      <c r="G78" s="195">
        <v>64</v>
      </c>
      <c r="H78" s="195">
        <v>68</v>
      </c>
      <c r="I78" s="195">
        <v>62</v>
      </c>
      <c r="J78" s="195">
        <v>66</v>
      </c>
      <c r="K78" s="195">
        <v>61</v>
      </c>
      <c r="L78" s="44">
        <v>59</v>
      </c>
      <c r="M78" s="25">
        <v>76</v>
      </c>
      <c r="N78" s="79">
        <v>68</v>
      </c>
      <c r="O78" s="79">
        <v>63</v>
      </c>
      <c r="P78" s="79">
        <v>76</v>
      </c>
      <c r="Q78" s="80">
        <v>82</v>
      </c>
    </row>
    <row r="79" spans="1:18" s="2" customFormat="1" ht="24" customHeight="1" x14ac:dyDescent="0.25">
      <c r="A79" s="6"/>
      <c r="B79" s="185" t="s">
        <v>47</v>
      </c>
      <c r="C79" s="1119"/>
      <c r="D79" s="1120"/>
      <c r="E79" s="691">
        <f>SUM(F79:Q79)</f>
        <v>23</v>
      </c>
      <c r="F79" s="195" t="s">
        <v>144</v>
      </c>
      <c r="G79" s="195">
        <v>1</v>
      </c>
      <c r="H79" s="195">
        <v>2</v>
      </c>
      <c r="I79" s="195">
        <v>2</v>
      </c>
      <c r="J79" s="195">
        <v>1</v>
      </c>
      <c r="K79" s="195">
        <v>5</v>
      </c>
      <c r="L79" s="240">
        <v>2</v>
      </c>
      <c r="M79" s="240">
        <v>2</v>
      </c>
      <c r="N79" s="79">
        <v>2</v>
      </c>
      <c r="O79" s="79">
        <v>2</v>
      </c>
      <c r="P79" s="79">
        <v>1</v>
      </c>
      <c r="Q79" s="202">
        <v>3</v>
      </c>
    </row>
    <row r="80" spans="1:18" s="2" customFormat="1" ht="24" customHeight="1" x14ac:dyDescent="0.25">
      <c r="A80" s="6"/>
      <c r="B80" s="188" t="s">
        <v>48</v>
      </c>
      <c r="C80" s="1119"/>
      <c r="D80" s="1120"/>
      <c r="E80" s="691">
        <f>SUM(F80:Q80)</f>
        <v>30</v>
      </c>
      <c r="F80" s="195" t="s">
        <v>144</v>
      </c>
      <c r="G80" s="195">
        <v>5</v>
      </c>
      <c r="H80" s="195">
        <v>1</v>
      </c>
      <c r="I80" s="195">
        <v>2</v>
      </c>
      <c r="J80" s="195">
        <v>0</v>
      </c>
      <c r="K80" s="195">
        <v>10</v>
      </c>
      <c r="L80" s="240">
        <v>3</v>
      </c>
      <c r="M80" s="240">
        <v>4</v>
      </c>
      <c r="N80" s="240">
        <v>0</v>
      </c>
      <c r="O80" s="37">
        <v>2</v>
      </c>
      <c r="P80" s="240">
        <v>3</v>
      </c>
      <c r="Q80" s="243">
        <v>0</v>
      </c>
    </row>
    <row r="81" spans="1:17" ht="24" customHeight="1" x14ac:dyDescent="0.3">
      <c r="A81" s="5"/>
      <c r="B81" s="1116" t="s">
        <v>50</v>
      </c>
      <c r="C81" s="1117"/>
      <c r="D81" s="1117"/>
      <c r="E81" s="1117"/>
      <c r="F81" s="1117"/>
      <c r="G81" s="1117"/>
      <c r="H81" s="1117"/>
      <c r="I81" s="1117"/>
      <c r="J81" s="1117"/>
      <c r="K81" s="1117"/>
      <c r="L81" s="1117"/>
      <c r="M81" s="1117"/>
      <c r="N81" s="1117"/>
      <c r="O81" s="1117"/>
      <c r="P81" s="1117"/>
      <c r="Q81" s="1118"/>
    </row>
    <row r="82" spans="1:17" s="2" customFormat="1" ht="24" customHeight="1" x14ac:dyDescent="0.25">
      <c r="A82" s="6"/>
      <c r="B82" s="72" t="s">
        <v>51</v>
      </c>
      <c r="C82" s="1119"/>
      <c r="D82" s="1120"/>
      <c r="E82" s="690">
        <f>SUM(F82:Q82)</f>
        <v>1088</v>
      </c>
      <c r="F82" s="24">
        <v>86</v>
      </c>
      <c r="G82" s="222">
        <v>88</v>
      </c>
      <c r="H82" s="222">
        <v>90</v>
      </c>
      <c r="I82" s="222">
        <v>90</v>
      </c>
      <c r="J82" s="222">
        <v>91</v>
      </c>
      <c r="K82" s="222">
        <v>89</v>
      </c>
      <c r="L82" s="222">
        <v>89</v>
      </c>
      <c r="M82" s="222">
        <v>91</v>
      </c>
      <c r="N82" s="222">
        <v>97</v>
      </c>
      <c r="O82" s="222">
        <v>93</v>
      </c>
      <c r="P82" s="222">
        <v>92</v>
      </c>
      <c r="Q82" s="267">
        <v>92</v>
      </c>
    </row>
    <row r="83" spans="1:17" s="2" customFormat="1" ht="24" customHeight="1" x14ac:dyDescent="0.25">
      <c r="A83" s="6"/>
      <c r="B83" s="185" t="s">
        <v>32</v>
      </c>
      <c r="C83" s="1119"/>
      <c r="D83" s="1120"/>
      <c r="E83" s="690">
        <f>SUM(F83:Q83)</f>
        <v>17</v>
      </c>
      <c r="F83" s="43" t="s">
        <v>144</v>
      </c>
      <c r="G83" s="236">
        <v>0</v>
      </c>
      <c r="H83" s="44">
        <v>4</v>
      </c>
      <c r="I83" s="44">
        <v>2</v>
      </c>
      <c r="J83" s="44">
        <v>1</v>
      </c>
      <c r="K83" s="44">
        <v>0</v>
      </c>
      <c r="L83" s="44">
        <v>0</v>
      </c>
      <c r="M83" s="256">
        <v>2</v>
      </c>
      <c r="N83" s="44">
        <v>6</v>
      </c>
      <c r="O83" s="256">
        <v>0</v>
      </c>
      <c r="P83" s="256">
        <v>1</v>
      </c>
      <c r="Q83" s="202">
        <v>1</v>
      </c>
    </row>
    <row r="84" spans="1:17" s="2" customFormat="1" ht="24" customHeight="1" x14ac:dyDescent="0.25">
      <c r="A84" s="6"/>
      <c r="B84" s="248" t="s">
        <v>33</v>
      </c>
      <c r="C84" s="1127"/>
      <c r="D84" s="1128"/>
      <c r="E84" s="690">
        <f>SUM(F84:Q84)</f>
        <v>12</v>
      </c>
      <c r="F84" s="66" t="s">
        <v>144</v>
      </c>
      <c r="G84" s="247">
        <v>0</v>
      </c>
      <c r="H84" s="67">
        <v>2</v>
      </c>
      <c r="I84" s="67">
        <v>2</v>
      </c>
      <c r="J84" s="67">
        <v>0</v>
      </c>
      <c r="K84" s="67">
        <v>2</v>
      </c>
      <c r="L84" s="67">
        <v>0</v>
      </c>
      <c r="M84" s="286">
        <v>0</v>
      </c>
      <c r="N84" s="67">
        <v>0</v>
      </c>
      <c r="O84" s="286">
        <v>4</v>
      </c>
      <c r="P84" s="286">
        <v>1</v>
      </c>
      <c r="Q84" s="249">
        <v>1</v>
      </c>
    </row>
    <row r="85" spans="1:17" x14ac:dyDescent="0.3">
      <c r="A85" s="5"/>
      <c r="B85" s="1112" t="s">
        <v>52</v>
      </c>
      <c r="C85" s="1113"/>
      <c r="D85" s="1113"/>
      <c r="E85" s="1113"/>
      <c r="F85" s="1113"/>
      <c r="G85" s="1113"/>
      <c r="H85" s="1113"/>
      <c r="I85" s="1113"/>
      <c r="J85" s="1113"/>
      <c r="K85" s="1113"/>
      <c r="L85" s="1113"/>
      <c r="M85" s="1113"/>
      <c r="N85" s="1113"/>
      <c r="O85" s="1113"/>
      <c r="P85" s="1113"/>
      <c r="Q85" s="1114"/>
    </row>
    <row r="86" spans="1:17" s="2" customFormat="1" ht="24" customHeight="1" x14ac:dyDescent="0.25">
      <c r="A86" s="6"/>
      <c r="B86" s="72" t="s">
        <v>161</v>
      </c>
      <c r="C86" s="264"/>
      <c r="D86" s="265"/>
      <c r="E86" s="166">
        <f>SUM(F86:Q86)</f>
        <v>1589</v>
      </c>
      <c r="F86" s="24" t="s">
        <v>144</v>
      </c>
      <c r="G86" s="222">
        <v>140</v>
      </c>
      <c r="H86" s="222">
        <v>141</v>
      </c>
      <c r="I86" s="222">
        <v>145</v>
      </c>
      <c r="J86" s="222">
        <v>145</v>
      </c>
      <c r="K86" s="222">
        <v>148</v>
      </c>
      <c r="L86" s="222">
        <v>148</v>
      </c>
      <c r="M86" s="222">
        <v>146</v>
      </c>
      <c r="N86" s="222">
        <v>144</v>
      </c>
      <c r="O86" s="222">
        <v>145</v>
      </c>
      <c r="P86" s="222">
        <v>142</v>
      </c>
      <c r="Q86" s="267">
        <v>145</v>
      </c>
    </row>
    <row r="87" spans="1:17" s="2" customFormat="1" ht="18.75" hidden="1" customHeight="1" x14ac:dyDescent="0.25">
      <c r="A87" s="6"/>
      <c r="B87" s="185" t="s">
        <v>32</v>
      </c>
      <c r="C87" s="264"/>
      <c r="D87" s="265"/>
      <c r="E87" s="166">
        <f t="shared" ref="E87:E93" si="6">SUM(F87:Q87)</f>
        <v>0</v>
      </c>
      <c r="F87" s="43"/>
      <c r="G87" s="254"/>
      <c r="H87" s="256"/>
      <c r="I87" s="44"/>
      <c r="J87" s="44"/>
      <c r="K87" s="44"/>
      <c r="L87" s="44"/>
      <c r="M87" s="44"/>
      <c r="N87" s="256"/>
      <c r="O87" s="44"/>
      <c r="P87" s="256"/>
      <c r="Q87" s="202"/>
    </row>
    <row r="88" spans="1:17" s="2" customFormat="1" ht="18.75" hidden="1" customHeight="1" x14ac:dyDescent="0.25">
      <c r="A88" s="6"/>
      <c r="B88" s="185" t="s">
        <v>33</v>
      </c>
      <c r="C88" s="264"/>
      <c r="D88" s="265"/>
      <c r="E88" s="166">
        <f t="shared" si="6"/>
        <v>0</v>
      </c>
      <c r="F88" s="43"/>
      <c r="G88" s="254"/>
      <c r="H88" s="256"/>
      <c r="I88" s="44"/>
      <c r="J88" s="44"/>
      <c r="K88" s="44"/>
      <c r="L88" s="44"/>
      <c r="M88" s="44"/>
      <c r="N88" s="256"/>
      <c r="O88" s="44"/>
      <c r="P88" s="256"/>
      <c r="Q88" s="202"/>
    </row>
    <row r="89" spans="1:17" s="2" customFormat="1" ht="24" customHeight="1" x14ac:dyDescent="0.25">
      <c r="A89" s="6"/>
      <c r="B89" s="70" t="s">
        <v>158</v>
      </c>
      <c r="C89" s="264"/>
      <c r="D89" s="265"/>
      <c r="E89" s="690">
        <f t="shared" si="6"/>
        <v>106142.25</v>
      </c>
      <c r="F89" s="78">
        <v>10697.5</v>
      </c>
      <c r="G89" s="79">
        <v>11011.25</v>
      </c>
      <c r="H89" s="218">
        <v>10585</v>
      </c>
      <c r="I89" s="79">
        <v>10969.25</v>
      </c>
      <c r="J89" s="237">
        <v>10597</v>
      </c>
      <c r="K89" s="79">
        <v>9658.25</v>
      </c>
      <c r="L89" s="79">
        <v>8960.5</v>
      </c>
      <c r="M89" s="79">
        <v>8076</v>
      </c>
      <c r="N89" s="218">
        <v>8829</v>
      </c>
      <c r="O89" s="79">
        <v>8267.5</v>
      </c>
      <c r="P89" s="491">
        <v>8491</v>
      </c>
      <c r="Q89" s="80" t="s">
        <v>144</v>
      </c>
    </row>
    <row r="90" spans="1:17" s="2" customFormat="1" ht="24" customHeight="1" x14ac:dyDescent="0.25">
      <c r="A90" s="6"/>
      <c r="B90" s="70" t="s">
        <v>190</v>
      </c>
      <c r="C90" s="264"/>
      <c r="D90" s="265"/>
      <c r="E90" s="166">
        <f t="shared" si="6"/>
        <v>1723</v>
      </c>
      <c r="F90" s="43">
        <v>134</v>
      </c>
      <c r="G90" s="44">
        <v>140</v>
      </c>
      <c r="H90" s="256">
        <v>141</v>
      </c>
      <c r="I90" s="44">
        <v>145</v>
      </c>
      <c r="J90" s="44">
        <v>145</v>
      </c>
      <c r="K90" s="44">
        <v>148</v>
      </c>
      <c r="L90" s="44">
        <v>148</v>
      </c>
      <c r="M90" s="44">
        <v>146</v>
      </c>
      <c r="N90" s="256">
        <v>144</v>
      </c>
      <c r="O90" s="44">
        <v>145</v>
      </c>
      <c r="P90" s="256">
        <v>142</v>
      </c>
      <c r="Q90" s="45">
        <v>145</v>
      </c>
    </row>
    <row r="91" spans="1:17" s="2" customFormat="1" ht="24" customHeight="1" x14ac:dyDescent="0.25">
      <c r="A91" s="6"/>
      <c r="B91" s="185" t="s">
        <v>32</v>
      </c>
      <c r="C91" s="264"/>
      <c r="D91" s="265"/>
      <c r="E91" s="690">
        <f t="shared" si="6"/>
        <v>19</v>
      </c>
      <c r="F91" s="43">
        <v>0</v>
      </c>
      <c r="G91" s="44">
        <v>6</v>
      </c>
      <c r="H91" s="256">
        <v>1</v>
      </c>
      <c r="I91" s="44">
        <v>5</v>
      </c>
      <c r="J91" s="44">
        <v>0</v>
      </c>
      <c r="K91" s="44">
        <v>3</v>
      </c>
      <c r="L91" s="44">
        <v>0</v>
      </c>
      <c r="M91" s="44">
        <v>0</v>
      </c>
      <c r="N91" s="256">
        <v>0</v>
      </c>
      <c r="O91" s="44">
        <v>1</v>
      </c>
      <c r="P91" s="256">
        <v>0</v>
      </c>
      <c r="Q91" s="202">
        <v>3</v>
      </c>
    </row>
    <row r="92" spans="1:17" s="2" customFormat="1" ht="24" customHeight="1" x14ac:dyDescent="0.25">
      <c r="A92" s="6"/>
      <c r="B92" s="188" t="s">
        <v>33</v>
      </c>
      <c r="C92" s="264"/>
      <c r="D92" s="265"/>
      <c r="E92" s="690">
        <f t="shared" si="6"/>
        <v>11</v>
      </c>
      <c r="F92" s="30">
        <v>3</v>
      </c>
      <c r="G92" s="31">
        <v>0</v>
      </c>
      <c r="H92" s="234">
        <v>0</v>
      </c>
      <c r="I92" s="31">
        <v>1</v>
      </c>
      <c r="J92" s="31">
        <v>0</v>
      </c>
      <c r="K92" s="31">
        <v>0</v>
      </c>
      <c r="L92" s="31">
        <v>0</v>
      </c>
      <c r="M92" s="31">
        <v>2</v>
      </c>
      <c r="N92" s="234">
        <v>2</v>
      </c>
      <c r="O92" s="31">
        <v>0</v>
      </c>
      <c r="P92" s="234">
        <v>3</v>
      </c>
      <c r="Q92" s="243">
        <v>0</v>
      </c>
    </row>
    <row r="93" spans="1:17" s="2" customFormat="1" ht="24" customHeight="1" x14ac:dyDescent="0.25">
      <c r="A93" s="6"/>
      <c r="B93" s="70" t="s">
        <v>58</v>
      </c>
      <c r="C93" s="264"/>
      <c r="D93" s="265"/>
      <c r="E93" s="166">
        <f t="shared" si="6"/>
        <v>1638</v>
      </c>
      <c r="F93" s="43">
        <v>148</v>
      </c>
      <c r="G93" s="44">
        <v>131</v>
      </c>
      <c r="H93" s="256">
        <v>131</v>
      </c>
      <c r="I93" s="44">
        <v>140</v>
      </c>
      <c r="J93" s="44">
        <v>138</v>
      </c>
      <c r="K93" s="44">
        <v>134</v>
      </c>
      <c r="L93" s="44">
        <v>133</v>
      </c>
      <c r="M93" s="44">
        <v>132</v>
      </c>
      <c r="N93" s="256">
        <v>135</v>
      </c>
      <c r="O93" s="44">
        <v>134</v>
      </c>
      <c r="P93" s="256">
        <v>143</v>
      </c>
      <c r="Q93" s="45">
        <v>139</v>
      </c>
    </row>
    <row r="94" spans="1:17" s="2" customFormat="1" ht="24" hidden="1" customHeight="1" x14ac:dyDescent="0.25">
      <c r="A94" s="6"/>
      <c r="B94" s="185" t="s">
        <v>32</v>
      </c>
      <c r="C94" s="264"/>
      <c r="D94" s="265"/>
      <c r="E94" s="69"/>
      <c r="F94" s="43">
        <v>1</v>
      </c>
      <c r="G94" s="44">
        <v>0</v>
      </c>
      <c r="H94" s="256"/>
      <c r="I94" s="44"/>
      <c r="J94" s="44"/>
      <c r="K94" s="44"/>
      <c r="L94" s="44"/>
      <c r="M94" s="44"/>
      <c r="N94" s="44"/>
      <c r="O94" s="44"/>
      <c r="P94" s="44"/>
      <c r="Q94" s="202"/>
    </row>
    <row r="95" spans="1:17" s="2" customFormat="1" ht="24" hidden="1" customHeight="1" x14ac:dyDescent="0.25">
      <c r="A95" s="6"/>
      <c r="B95" s="188" t="s">
        <v>33</v>
      </c>
      <c r="C95" s="264"/>
      <c r="D95" s="265"/>
      <c r="E95" s="69"/>
      <c r="F95" s="30">
        <v>-2</v>
      </c>
      <c r="G95" s="31">
        <v>-1</v>
      </c>
      <c r="H95" s="234"/>
      <c r="I95" s="31"/>
      <c r="J95" s="31"/>
      <c r="K95" s="31"/>
      <c r="L95" s="31"/>
      <c r="M95" s="31"/>
      <c r="N95" s="31"/>
      <c r="O95" s="31"/>
      <c r="P95" s="31"/>
      <c r="Q95" s="243"/>
    </row>
    <row r="96" spans="1:17" s="2" customFormat="1" ht="17.45" customHeight="1" x14ac:dyDescent="0.25">
      <c r="A96" s="6"/>
      <c r="B96" s="1129" t="s">
        <v>162</v>
      </c>
      <c r="C96" s="1130"/>
      <c r="D96" s="1130"/>
      <c r="E96" s="1130"/>
      <c r="F96" s="1130"/>
      <c r="G96" s="1130"/>
      <c r="H96" s="1130"/>
      <c r="I96" s="1130"/>
      <c r="J96" s="1130"/>
      <c r="K96" s="1130"/>
      <c r="L96" s="1130"/>
      <c r="M96" s="1130"/>
      <c r="N96" s="1130"/>
      <c r="O96" s="1130"/>
      <c r="P96" s="1130"/>
      <c r="Q96" s="1131"/>
    </row>
    <row r="97" spans="1:17" s="2" customFormat="1" ht="36" customHeight="1" x14ac:dyDescent="0.25">
      <c r="A97" s="6"/>
      <c r="B97" s="293" t="s">
        <v>171</v>
      </c>
      <c r="C97" s="264"/>
      <c r="D97" s="282"/>
      <c r="E97" s="166">
        <f>SUM(F97:Q97)</f>
        <v>4356</v>
      </c>
      <c r="F97" s="413">
        <v>413</v>
      </c>
      <c r="G97" s="25">
        <v>395</v>
      </c>
      <c r="H97" s="25">
        <v>408</v>
      </c>
      <c r="I97" s="25">
        <v>405</v>
      </c>
      <c r="J97" s="25">
        <v>399</v>
      </c>
      <c r="K97" s="25">
        <v>387</v>
      </c>
      <c r="L97" s="25">
        <v>384</v>
      </c>
      <c r="M97" s="25">
        <v>376</v>
      </c>
      <c r="N97" s="25">
        <v>380</v>
      </c>
      <c r="O97" s="25">
        <v>404</v>
      </c>
      <c r="P97" s="222">
        <v>405</v>
      </c>
      <c r="Q97" s="202" t="s">
        <v>144</v>
      </c>
    </row>
    <row r="98" spans="1:17" s="2" customFormat="1" ht="24" customHeight="1" x14ac:dyDescent="0.25">
      <c r="A98" s="6"/>
      <c r="B98" s="46" t="s">
        <v>172</v>
      </c>
      <c r="C98" s="264"/>
      <c r="D98" s="282"/>
      <c r="E98" s="166">
        <f>SUM(F98:Q98)</f>
        <v>2169</v>
      </c>
      <c r="F98" s="43">
        <v>210</v>
      </c>
      <c r="G98" s="44">
        <v>197</v>
      </c>
      <c r="H98" s="44">
        <v>206</v>
      </c>
      <c r="I98" s="44">
        <v>205</v>
      </c>
      <c r="J98" s="44">
        <v>199</v>
      </c>
      <c r="K98" s="44">
        <v>193</v>
      </c>
      <c r="L98" s="44">
        <v>191</v>
      </c>
      <c r="M98" s="44">
        <v>185</v>
      </c>
      <c r="N98" s="44">
        <v>185</v>
      </c>
      <c r="O98" s="44">
        <v>197</v>
      </c>
      <c r="P98" s="256">
        <v>201</v>
      </c>
      <c r="Q98" s="202" t="s">
        <v>144</v>
      </c>
    </row>
    <row r="99" spans="1:17" s="2" customFormat="1" ht="24" customHeight="1" x14ac:dyDescent="0.25">
      <c r="A99" s="6"/>
      <c r="B99" s="46" t="s">
        <v>170</v>
      </c>
      <c r="C99" s="264"/>
      <c r="D99" s="282"/>
      <c r="E99" s="690">
        <f>SUM(F99:Q99)</f>
        <v>2487</v>
      </c>
      <c r="F99" s="43">
        <v>143</v>
      </c>
      <c r="G99" s="44">
        <v>121</v>
      </c>
      <c r="H99" s="44">
        <v>161</v>
      </c>
      <c r="I99" s="44">
        <v>214</v>
      </c>
      <c r="J99" s="44">
        <v>216</v>
      </c>
      <c r="K99" s="44">
        <v>177</v>
      </c>
      <c r="L99" s="44">
        <v>212</v>
      </c>
      <c r="M99" s="44">
        <v>210</v>
      </c>
      <c r="N99" s="44">
        <v>226</v>
      </c>
      <c r="O99" s="44">
        <v>235</v>
      </c>
      <c r="P99" s="256">
        <v>278</v>
      </c>
      <c r="Q99" s="202">
        <v>294</v>
      </c>
    </row>
    <row r="100" spans="1:17" s="2" customFormat="1" ht="24" hidden="1" customHeight="1" x14ac:dyDescent="0.25">
      <c r="A100" s="6"/>
      <c r="B100" s="185" t="s">
        <v>32</v>
      </c>
      <c r="C100" s="264"/>
      <c r="D100" s="282"/>
      <c r="E100" s="69"/>
      <c r="F100" s="43">
        <v>13</v>
      </c>
      <c r="G100" s="44"/>
      <c r="H100" s="44"/>
      <c r="I100" s="44"/>
      <c r="J100" s="44"/>
      <c r="K100" s="44"/>
      <c r="L100" s="44"/>
      <c r="M100" s="44"/>
      <c r="N100" s="44"/>
      <c r="O100" s="44"/>
      <c r="P100" s="256"/>
      <c r="Q100" s="202"/>
    </row>
    <row r="101" spans="1:17" s="2" customFormat="1" ht="24" hidden="1" customHeight="1" x14ac:dyDescent="0.25">
      <c r="A101" s="6"/>
      <c r="B101" s="188" t="s">
        <v>33</v>
      </c>
      <c r="C101" s="262"/>
      <c r="D101" s="287"/>
      <c r="E101" s="83"/>
      <c r="F101" s="30">
        <v>-208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234"/>
      <c r="Q101" s="243"/>
    </row>
    <row r="102" spans="1:17" s="2" customFormat="1" ht="18" hidden="1" customHeight="1" x14ac:dyDescent="0.25">
      <c r="A102" s="6"/>
      <c r="B102" s="1132" t="s">
        <v>163</v>
      </c>
      <c r="C102" s="1133"/>
      <c r="D102" s="1133"/>
      <c r="E102" s="1133"/>
      <c r="F102" s="1133"/>
      <c r="G102" s="1133"/>
      <c r="H102" s="1133"/>
      <c r="I102" s="1133"/>
      <c r="J102" s="1133"/>
      <c r="K102" s="1133"/>
      <c r="L102" s="1133"/>
      <c r="M102" s="1133"/>
      <c r="N102" s="1133"/>
      <c r="O102" s="1133"/>
      <c r="P102" s="1133"/>
      <c r="Q102" s="1134"/>
    </row>
    <row r="103" spans="1:17" s="2" customFormat="1" ht="24" hidden="1" customHeight="1" x14ac:dyDescent="0.25">
      <c r="A103" s="6"/>
      <c r="B103" s="288" t="s">
        <v>164</v>
      </c>
      <c r="C103" s="329"/>
      <c r="D103" s="330"/>
      <c r="E103" s="166">
        <v>17</v>
      </c>
      <c r="F103" s="284">
        <v>17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22"/>
      <c r="Q103" s="202"/>
    </row>
    <row r="104" spans="1:17" s="2" customFormat="1" ht="24" hidden="1" customHeight="1" x14ac:dyDescent="0.25">
      <c r="A104" s="6"/>
      <c r="B104" s="289" t="s">
        <v>165</v>
      </c>
      <c r="C104" s="331"/>
      <c r="D104" s="332"/>
      <c r="E104" s="333">
        <v>23</v>
      </c>
      <c r="F104" s="285">
        <v>23</v>
      </c>
      <c r="G104" s="67"/>
      <c r="H104" s="67"/>
      <c r="I104" s="67"/>
      <c r="J104" s="67"/>
      <c r="K104" s="67"/>
      <c r="L104" s="67"/>
      <c r="M104" s="67"/>
      <c r="N104" s="67"/>
      <c r="O104" s="67"/>
      <c r="P104" s="286"/>
      <c r="Q104" s="249"/>
    </row>
    <row r="105" spans="1:17" x14ac:dyDescent="0.3">
      <c r="A105" s="5"/>
      <c r="B105" s="1112" t="s">
        <v>59</v>
      </c>
      <c r="C105" s="1113"/>
      <c r="D105" s="1113"/>
      <c r="E105" s="1113"/>
      <c r="F105" s="1113"/>
      <c r="G105" s="1113"/>
      <c r="H105" s="1113"/>
      <c r="I105" s="1113"/>
      <c r="J105" s="1113"/>
      <c r="K105" s="1113"/>
      <c r="L105" s="1113"/>
      <c r="M105" s="1113"/>
      <c r="N105" s="1113"/>
      <c r="O105" s="1113"/>
      <c r="P105" s="1113"/>
      <c r="Q105" s="1114"/>
    </row>
    <row r="106" spans="1:17" s="3" customFormat="1" ht="24" customHeight="1" x14ac:dyDescent="0.25">
      <c r="A106" s="7"/>
      <c r="B106" s="21" t="s">
        <v>60</v>
      </c>
      <c r="C106" s="407">
        <v>14504</v>
      </c>
      <c r="D106" s="85">
        <v>11455</v>
      </c>
      <c r="E106" s="283">
        <f t="shared" ref="E106:E114" si="7">SUM(F106:Q106)</f>
        <v>9245</v>
      </c>
      <c r="F106" s="343">
        <f>SUM(F107:F113)</f>
        <v>809</v>
      </c>
      <c r="G106" s="342">
        <v>827</v>
      </c>
      <c r="H106" s="217">
        <f>SUM(H107:H113)</f>
        <v>821</v>
      </c>
      <c r="I106" s="217">
        <v>745</v>
      </c>
      <c r="J106" s="217">
        <v>806</v>
      </c>
      <c r="K106" s="217">
        <v>786</v>
      </c>
      <c r="L106" s="217">
        <v>904</v>
      </c>
      <c r="M106" s="217">
        <v>915</v>
      </c>
      <c r="N106" s="217">
        <v>786</v>
      </c>
      <c r="O106" s="217">
        <v>616</v>
      </c>
      <c r="P106" s="217">
        <f>SUM(P107:P113)</f>
        <v>635</v>
      </c>
      <c r="Q106" s="278">
        <v>595</v>
      </c>
    </row>
    <row r="107" spans="1:17" s="3" customFormat="1" ht="24" customHeight="1" x14ac:dyDescent="0.25">
      <c r="A107" s="7"/>
      <c r="B107" s="190" t="s">
        <v>61</v>
      </c>
      <c r="C107" s="408">
        <v>9344</v>
      </c>
      <c r="D107" s="91">
        <v>7242</v>
      </c>
      <c r="E107" s="167">
        <f t="shared" si="7"/>
        <v>5595</v>
      </c>
      <c r="F107" s="92">
        <v>473</v>
      </c>
      <c r="G107" s="93">
        <v>461</v>
      </c>
      <c r="H107" s="93">
        <v>490</v>
      </c>
      <c r="I107" s="93">
        <v>404</v>
      </c>
      <c r="J107" s="93">
        <v>481</v>
      </c>
      <c r="K107" s="93">
        <v>493</v>
      </c>
      <c r="L107" s="244">
        <v>579</v>
      </c>
      <c r="M107" s="93">
        <v>613</v>
      </c>
      <c r="N107" s="93">
        <v>553</v>
      </c>
      <c r="O107" s="93">
        <v>368</v>
      </c>
      <c r="P107" s="244">
        <v>352</v>
      </c>
      <c r="Q107" s="94">
        <v>328</v>
      </c>
    </row>
    <row r="108" spans="1:17" s="3" customFormat="1" ht="24" customHeight="1" x14ac:dyDescent="0.25">
      <c r="A108" s="7"/>
      <c r="B108" s="190" t="s">
        <v>62</v>
      </c>
      <c r="C108" s="408">
        <v>717</v>
      </c>
      <c r="D108" s="91">
        <v>466</v>
      </c>
      <c r="E108" s="167">
        <f t="shared" si="7"/>
        <v>421</v>
      </c>
      <c r="F108" s="92">
        <v>45</v>
      </c>
      <c r="G108" s="93">
        <v>45</v>
      </c>
      <c r="H108" s="93">
        <v>28</v>
      </c>
      <c r="I108" s="93">
        <v>49</v>
      </c>
      <c r="J108" s="93">
        <v>38</v>
      </c>
      <c r="K108" s="93">
        <v>32</v>
      </c>
      <c r="L108" s="244">
        <v>37</v>
      </c>
      <c r="M108" s="93">
        <v>28</v>
      </c>
      <c r="N108" s="93">
        <v>41</v>
      </c>
      <c r="O108" s="93">
        <v>34</v>
      </c>
      <c r="P108" s="244">
        <v>21</v>
      </c>
      <c r="Q108" s="94">
        <v>23</v>
      </c>
    </row>
    <row r="109" spans="1:17" s="3" customFormat="1" ht="24" customHeight="1" x14ac:dyDescent="0.25">
      <c r="A109" s="7"/>
      <c r="B109" s="190" t="s">
        <v>70</v>
      </c>
      <c r="C109" s="408">
        <v>78</v>
      </c>
      <c r="D109" s="91">
        <v>95</v>
      </c>
      <c r="E109" s="167">
        <f t="shared" si="7"/>
        <v>94</v>
      </c>
      <c r="F109" s="92">
        <v>12</v>
      </c>
      <c r="G109" s="93">
        <v>9</v>
      </c>
      <c r="H109" s="93">
        <v>5</v>
      </c>
      <c r="I109" s="93">
        <v>5</v>
      </c>
      <c r="J109" s="93">
        <v>5</v>
      </c>
      <c r="K109" s="93">
        <v>4</v>
      </c>
      <c r="L109" s="244">
        <v>6</v>
      </c>
      <c r="M109" s="93">
        <v>10</v>
      </c>
      <c r="N109" s="93">
        <v>9</v>
      </c>
      <c r="O109" s="93">
        <v>8</v>
      </c>
      <c r="P109" s="244">
        <v>12</v>
      </c>
      <c r="Q109" s="94">
        <v>9</v>
      </c>
    </row>
    <row r="110" spans="1:17" s="3" customFormat="1" ht="24" customHeight="1" x14ac:dyDescent="0.25">
      <c r="A110" s="7"/>
      <c r="B110" s="190" t="s">
        <v>63</v>
      </c>
      <c r="C110" s="408">
        <v>2599</v>
      </c>
      <c r="D110" s="91">
        <v>2174</v>
      </c>
      <c r="E110" s="167">
        <f t="shared" si="7"/>
        <v>1855</v>
      </c>
      <c r="F110" s="92">
        <v>158</v>
      </c>
      <c r="G110" s="93">
        <v>190</v>
      </c>
      <c r="H110" s="93">
        <v>180</v>
      </c>
      <c r="I110" s="93">
        <v>175</v>
      </c>
      <c r="J110" s="93">
        <v>168</v>
      </c>
      <c r="K110" s="93">
        <v>163</v>
      </c>
      <c r="L110" s="244">
        <v>167</v>
      </c>
      <c r="M110" s="93">
        <v>139</v>
      </c>
      <c r="N110" s="93">
        <v>102</v>
      </c>
      <c r="O110" s="93">
        <v>124</v>
      </c>
      <c r="P110" s="244">
        <v>155</v>
      </c>
      <c r="Q110" s="94">
        <v>134</v>
      </c>
    </row>
    <row r="111" spans="1:17" s="3" customFormat="1" ht="24" customHeight="1" x14ac:dyDescent="0.25">
      <c r="A111" s="7"/>
      <c r="B111" s="190" t="s">
        <v>64</v>
      </c>
      <c r="C111" s="408">
        <v>1418</v>
      </c>
      <c r="D111" s="91">
        <v>1223</v>
      </c>
      <c r="E111" s="167">
        <f t="shared" si="7"/>
        <v>1063</v>
      </c>
      <c r="F111" s="92">
        <v>101</v>
      </c>
      <c r="G111" s="93">
        <v>107</v>
      </c>
      <c r="H111" s="93">
        <v>104</v>
      </c>
      <c r="I111" s="93">
        <v>97</v>
      </c>
      <c r="J111" s="93">
        <v>97</v>
      </c>
      <c r="K111" s="93">
        <v>78</v>
      </c>
      <c r="L111" s="244">
        <v>87</v>
      </c>
      <c r="M111" s="93">
        <v>101</v>
      </c>
      <c r="N111" s="93">
        <v>64</v>
      </c>
      <c r="O111" s="93">
        <v>68</v>
      </c>
      <c r="P111" s="244">
        <v>81</v>
      </c>
      <c r="Q111" s="94">
        <v>78</v>
      </c>
    </row>
    <row r="112" spans="1:17" s="3" customFormat="1" ht="24" customHeight="1" x14ac:dyDescent="0.25">
      <c r="A112" s="7"/>
      <c r="B112" s="190" t="s">
        <v>65</v>
      </c>
      <c r="C112" s="408">
        <v>113</v>
      </c>
      <c r="D112" s="91">
        <v>115</v>
      </c>
      <c r="E112" s="167">
        <f t="shared" si="7"/>
        <v>120</v>
      </c>
      <c r="F112" s="92">
        <v>9</v>
      </c>
      <c r="G112" s="93">
        <v>9</v>
      </c>
      <c r="H112" s="93">
        <v>9</v>
      </c>
      <c r="I112" s="93">
        <v>10</v>
      </c>
      <c r="J112" s="93">
        <v>7</v>
      </c>
      <c r="K112" s="93">
        <v>13</v>
      </c>
      <c r="L112" s="244">
        <v>12</v>
      </c>
      <c r="M112" s="93">
        <v>15</v>
      </c>
      <c r="N112" s="93">
        <v>6</v>
      </c>
      <c r="O112" s="93">
        <v>6</v>
      </c>
      <c r="P112" s="244">
        <v>10</v>
      </c>
      <c r="Q112" s="94">
        <v>14</v>
      </c>
    </row>
    <row r="113" spans="1:17" s="3" customFormat="1" ht="23.45" customHeight="1" x14ac:dyDescent="0.25">
      <c r="A113" s="7"/>
      <c r="B113" s="184" t="s">
        <v>122</v>
      </c>
      <c r="C113" s="408">
        <v>235</v>
      </c>
      <c r="D113" s="91">
        <v>143</v>
      </c>
      <c r="E113" s="167">
        <f t="shared" si="7"/>
        <v>97</v>
      </c>
      <c r="F113" s="92">
        <v>11</v>
      </c>
      <c r="G113" s="93">
        <v>6</v>
      </c>
      <c r="H113" s="93">
        <v>5</v>
      </c>
      <c r="I113" s="93">
        <v>5</v>
      </c>
      <c r="J113" s="93">
        <v>10</v>
      </c>
      <c r="K113" s="93">
        <v>3</v>
      </c>
      <c r="L113" s="244">
        <v>16</v>
      </c>
      <c r="M113" s="93">
        <v>9</v>
      </c>
      <c r="N113" s="93">
        <v>11</v>
      </c>
      <c r="O113" s="93">
        <v>8</v>
      </c>
      <c r="P113" s="244">
        <v>4</v>
      </c>
      <c r="Q113" s="94">
        <v>9</v>
      </c>
    </row>
    <row r="114" spans="1:17" s="3" customFormat="1" ht="24" customHeight="1" x14ac:dyDescent="0.25">
      <c r="A114" s="7"/>
      <c r="B114" s="95" t="s">
        <v>66</v>
      </c>
      <c r="C114" s="408">
        <v>71</v>
      </c>
      <c r="D114" s="97">
        <v>128</v>
      </c>
      <c r="E114" s="168">
        <f t="shared" si="7"/>
        <v>170</v>
      </c>
      <c r="F114" s="98">
        <v>7</v>
      </c>
      <c r="G114" s="99">
        <v>18</v>
      </c>
      <c r="H114" s="99">
        <v>20</v>
      </c>
      <c r="I114" s="99">
        <v>19</v>
      </c>
      <c r="J114" s="99">
        <v>25</v>
      </c>
      <c r="K114" s="99">
        <v>14</v>
      </c>
      <c r="L114" s="99">
        <v>12</v>
      </c>
      <c r="M114" s="99">
        <v>9</v>
      </c>
      <c r="N114" s="99">
        <v>11</v>
      </c>
      <c r="O114" s="99">
        <v>8</v>
      </c>
      <c r="P114" s="260">
        <v>15</v>
      </c>
      <c r="Q114" s="100">
        <v>12</v>
      </c>
    </row>
    <row r="115" spans="1:17" x14ac:dyDescent="0.3">
      <c r="A115" s="5"/>
      <c r="B115" s="1098" t="s">
        <v>71</v>
      </c>
      <c r="C115" s="1099"/>
      <c r="D115" s="1099"/>
      <c r="E115" s="1099"/>
      <c r="F115" s="1099"/>
      <c r="G115" s="1099"/>
      <c r="H115" s="1099"/>
      <c r="I115" s="1099"/>
      <c r="J115" s="1099"/>
      <c r="K115" s="1099"/>
      <c r="L115" s="1099"/>
      <c r="M115" s="1099"/>
      <c r="N115" s="1099"/>
      <c r="O115" s="1099"/>
      <c r="P115" s="1099"/>
      <c r="Q115" s="1100"/>
    </row>
    <row r="116" spans="1:17" ht="17.100000000000001" customHeight="1" x14ac:dyDescent="0.3">
      <c r="A116" s="5"/>
      <c r="B116" s="1135" t="s">
        <v>73</v>
      </c>
      <c r="C116" s="1136"/>
      <c r="D116" s="1136"/>
      <c r="E116" s="1136"/>
      <c r="F116" s="1136"/>
      <c r="G116" s="1136"/>
      <c r="H116" s="1136"/>
      <c r="I116" s="1136"/>
      <c r="J116" s="1136"/>
      <c r="K116" s="1136"/>
      <c r="L116" s="1136"/>
      <c r="M116" s="1136"/>
      <c r="N116" s="1136"/>
      <c r="O116" s="1136"/>
      <c r="P116" s="1136"/>
      <c r="Q116" s="1137"/>
    </row>
    <row r="117" spans="1:17" s="2" customFormat="1" ht="24" customHeight="1" x14ac:dyDescent="0.25">
      <c r="A117" s="6"/>
      <c r="B117" s="72" t="s">
        <v>208</v>
      </c>
      <c r="C117" s="1106"/>
      <c r="D117" s="1107"/>
      <c r="E117" s="215">
        <f t="shared" ref="E117:E123" si="8">SUM(F117:Q117)</f>
        <v>0</v>
      </c>
      <c r="F117" s="472" t="s">
        <v>144</v>
      </c>
      <c r="G117" s="473" t="s">
        <v>144</v>
      </c>
      <c r="H117" s="224" t="s">
        <v>144</v>
      </c>
      <c r="I117" s="224" t="s">
        <v>144</v>
      </c>
      <c r="J117" s="224" t="s">
        <v>144</v>
      </c>
      <c r="K117" s="488" t="s">
        <v>144</v>
      </c>
      <c r="L117" s="224" t="s">
        <v>144</v>
      </c>
      <c r="M117" s="474" t="s">
        <v>144</v>
      </c>
      <c r="N117" s="474" t="s">
        <v>144</v>
      </c>
      <c r="O117" s="474" t="s">
        <v>144</v>
      </c>
      <c r="P117" s="474" t="s">
        <v>144</v>
      </c>
      <c r="Q117" s="478" t="s">
        <v>144</v>
      </c>
    </row>
    <row r="118" spans="1:17" s="2" customFormat="1" ht="24" customHeight="1" x14ac:dyDescent="0.25">
      <c r="A118" s="6"/>
      <c r="B118" s="185" t="s">
        <v>32</v>
      </c>
      <c r="C118" s="1106"/>
      <c r="D118" s="1107"/>
      <c r="E118" s="215">
        <f t="shared" si="8"/>
        <v>0</v>
      </c>
      <c r="F118" s="472" t="s">
        <v>144</v>
      </c>
      <c r="G118" s="473" t="s">
        <v>144</v>
      </c>
      <c r="H118" s="224" t="s">
        <v>144</v>
      </c>
      <c r="I118" s="79" t="s">
        <v>144</v>
      </c>
      <c r="J118" s="79" t="s">
        <v>144</v>
      </c>
      <c r="K118" s="44" t="s">
        <v>144</v>
      </c>
      <c r="L118" s="224" t="s">
        <v>144</v>
      </c>
      <c r="M118" s="240" t="s">
        <v>144</v>
      </c>
      <c r="N118" s="240" t="s">
        <v>144</v>
      </c>
      <c r="O118" s="240" t="s">
        <v>144</v>
      </c>
      <c r="P118" s="240" t="s">
        <v>144</v>
      </c>
      <c r="Q118" s="479" t="s">
        <v>144</v>
      </c>
    </row>
    <row r="119" spans="1:17" s="2" customFormat="1" ht="24" customHeight="1" x14ac:dyDescent="0.25">
      <c r="A119" s="6"/>
      <c r="B119" s="185" t="s">
        <v>142</v>
      </c>
      <c r="C119" s="1106"/>
      <c r="D119" s="1107"/>
      <c r="E119" s="215">
        <f t="shared" si="8"/>
        <v>0</v>
      </c>
      <c r="F119" s="472" t="s">
        <v>144</v>
      </c>
      <c r="G119" s="473" t="s">
        <v>144</v>
      </c>
      <c r="H119" s="224" t="s">
        <v>144</v>
      </c>
      <c r="I119" s="79" t="s">
        <v>144</v>
      </c>
      <c r="J119" s="79" t="s">
        <v>144</v>
      </c>
      <c r="K119" s="44" t="s">
        <v>144</v>
      </c>
      <c r="L119" s="224" t="s">
        <v>144</v>
      </c>
      <c r="M119" s="240" t="s">
        <v>144</v>
      </c>
      <c r="N119" s="240" t="s">
        <v>144</v>
      </c>
      <c r="O119" s="240" t="s">
        <v>144</v>
      </c>
      <c r="P119" s="240" t="s">
        <v>144</v>
      </c>
      <c r="Q119" s="479" t="s">
        <v>144</v>
      </c>
    </row>
    <row r="120" spans="1:17" s="2" customFormat="1" ht="24" customHeight="1" x14ac:dyDescent="0.25">
      <c r="A120" s="6"/>
      <c r="B120" s="46" t="s">
        <v>259</v>
      </c>
      <c r="C120" s="1106"/>
      <c r="D120" s="1107"/>
      <c r="E120" s="215">
        <f t="shared" si="8"/>
        <v>1352</v>
      </c>
      <c r="F120" s="472">
        <v>100</v>
      </c>
      <c r="G120" s="473">
        <v>108</v>
      </c>
      <c r="H120" s="224">
        <v>104</v>
      </c>
      <c r="I120" s="79">
        <v>101</v>
      </c>
      <c r="J120" s="79">
        <v>109</v>
      </c>
      <c r="K120" s="480">
        <v>114</v>
      </c>
      <c r="L120" s="224">
        <v>106</v>
      </c>
      <c r="M120" s="240">
        <v>124</v>
      </c>
      <c r="N120" s="240">
        <v>118</v>
      </c>
      <c r="O120" s="240">
        <v>121</v>
      </c>
      <c r="P120" s="240">
        <v>122</v>
      </c>
      <c r="Q120" s="479">
        <v>125</v>
      </c>
    </row>
    <row r="121" spans="1:17" s="2" customFormat="1" ht="24" customHeight="1" x14ac:dyDescent="0.25">
      <c r="A121" s="6"/>
      <c r="B121" s="46" t="s">
        <v>258</v>
      </c>
      <c r="C121" s="1106"/>
      <c r="D121" s="1107"/>
      <c r="E121" s="215">
        <f t="shared" si="8"/>
        <v>597</v>
      </c>
      <c r="F121" s="472">
        <v>54</v>
      </c>
      <c r="G121" s="473">
        <v>31</v>
      </c>
      <c r="H121" s="224">
        <v>44</v>
      </c>
      <c r="I121" s="79">
        <v>42</v>
      </c>
      <c r="J121" s="79">
        <v>45</v>
      </c>
      <c r="K121" s="480">
        <v>54</v>
      </c>
      <c r="L121" s="224">
        <v>45</v>
      </c>
      <c r="M121" s="240">
        <v>55</v>
      </c>
      <c r="N121" s="240">
        <v>53</v>
      </c>
      <c r="O121" s="240">
        <v>52</v>
      </c>
      <c r="P121" s="240">
        <v>58</v>
      </c>
      <c r="Q121" s="479">
        <v>64</v>
      </c>
    </row>
    <row r="122" spans="1:17" s="2" customFormat="1" ht="24" customHeight="1" x14ac:dyDescent="0.25">
      <c r="A122" s="6"/>
      <c r="B122" s="70" t="s">
        <v>75</v>
      </c>
      <c r="C122" s="1106"/>
      <c r="D122" s="1107"/>
      <c r="E122" s="487">
        <f t="shared" si="8"/>
        <v>15033</v>
      </c>
      <c r="F122" s="472">
        <v>1529</v>
      </c>
      <c r="G122" s="473">
        <v>1618</v>
      </c>
      <c r="H122" s="224">
        <v>1700</v>
      </c>
      <c r="I122" s="79">
        <v>1772</v>
      </c>
      <c r="J122" s="79">
        <v>1774</v>
      </c>
      <c r="K122" s="489">
        <v>1806</v>
      </c>
      <c r="L122" s="224">
        <v>1846</v>
      </c>
      <c r="M122" s="240">
        <v>1039</v>
      </c>
      <c r="N122" s="240">
        <v>977</v>
      </c>
      <c r="O122" s="240">
        <v>873</v>
      </c>
      <c r="P122" s="240">
        <v>0</v>
      </c>
      <c r="Q122" s="479">
        <v>99</v>
      </c>
    </row>
    <row r="123" spans="1:17" s="2" customFormat="1" ht="24" customHeight="1" x14ac:dyDescent="0.25">
      <c r="A123" s="6"/>
      <c r="B123" s="185" t="s">
        <v>32</v>
      </c>
      <c r="C123" s="1106"/>
      <c r="D123" s="1107"/>
      <c r="E123" s="215">
        <f t="shared" si="8"/>
        <v>403</v>
      </c>
      <c r="F123" s="472">
        <v>59</v>
      </c>
      <c r="G123" s="473">
        <v>63</v>
      </c>
      <c r="H123" s="224">
        <v>62</v>
      </c>
      <c r="I123" s="79">
        <v>48</v>
      </c>
      <c r="J123" s="79" t="s">
        <v>144</v>
      </c>
      <c r="K123" s="480">
        <v>32</v>
      </c>
      <c r="L123" s="224">
        <v>40</v>
      </c>
      <c r="M123" s="240" t="s">
        <v>144</v>
      </c>
      <c r="N123" s="240" t="s">
        <v>144</v>
      </c>
      <c r="O123" s="240" t="s">
        <v>144</v>
      </c>
      <c r="P123" s="240">
        <v>0</v>
      </c>
      <c r="Q123" s="479">
        <v>99</v>
      </c>
    </row>
    <row r="124" spans="1:17" s="2" customFormat="1" ht="24" customHeight="1" x14ac:dyDescent="0.25">
      <c r="A124" s="6"/>
      <c r="B124" s="188" t="s">
        <v>33</v>
      </c>
      <c r="C124" s="1106"/>
      <c r="D124" s="1107"/>
      <c r="E124" s="215">
        <f>SUM(F124:Q124)</f>
        <v>2006</v>
      </c>
      <c r="F124" s="475">
        <v>0</v>
      </c>
      <c r="G124" s="476">
        <v>0</v>
      </c>
      <c r="H124" s="224">
        <v>0</v>
      </c>
      <c r="I124" s="37">
        <v>0</v>
      </c>
      <c r="J124" s="37">
        <v>0</v>
      </c>
      <c r="K124" s="480">
        <v>0</v>
      </c>
      <c r="L124" s="224">
        <v>0</v>
      </c>
      <c r="M124" s="240">
        <v>807</v>
      </c>
      <c r="N124" s="240">
        <v>222</v>
      </c>
      <c r="O124" s="240">
        <v>104</v>
      </c>
      <c r="P124" s="240">
        <v>873</v>
      </c>
      <c r="Q124" s="479" t="s">
        <v>144</v>
      </c>
    </row>
    <row r="125" spans="1:17" x14ac:dyDescent="0.3">
      <c r="A125" s="5"/>
      <c r="B125" s="1124" t="s">
        <v>76</v>
      </c>
      <c r="C125" s="1125"/>
      <c r="D125" s="1125"/>
      <c r="E125" s="1125"/>
      <c r="F125" s="1125"/>
      <c r="G125" s="1125"/>
      <c r="H125" s="1125"/>
      <c r="I125" s="1125"/>
      <c r="J125" s="1125"/>
      <c r="K125" s="1125"/>
      <c r="L125" s="1125"/>
      <c r="M125" s="1125"/>
      <c r="N125" s="1125"/>
      <c r="O125" s="1125"/>
      <c r="P125" s="1125"/>
      <c r="Q125" s="1126"/>
    </row>
    <row r="126" spans="1:17" s="2" customFormat="1" ht="24" customHeight="1" x14ac:dyDescent="0.25">
      <c r="A126" s="6"/>
      <c r="B126" s="72" t="s">
        <v>78</v>
      </c>
      <c r="C126" s="1138"/>
      <c r="D126" s="1139"/>
      <c r="E126" s="692">
        <f>SUM(F126:Q126)</f>
        <v>222633</v>
      </c>
      <c r="F126" s="74">
        <v>18901</v>
      </c>
      <c r="G126" s="75">
        <v>19013</v>
      </c>
      <c r="H126" s="75">
        <v>18941</v>
      </c>
      <c r="I126" s="75">
        <v>18900</v>
      </c>
      <c r="J126" s="75">
        <v>18705</v>
      </c>
      <c r="K126" s="75">
        <v>18559</v>
      </c>
      <c r="L126" s="75">
        <v>18370</v>
      </c>
      <c r="M126" s="75">
        <v>18387</v>
      </c>
      <c r="N126" s="75">
        <v>18306</v>
      </c>
      <c r="O126" s="75">
        <v>18233</v>
      </c>
      <c r="P126" s="395">
        <v>18178</v>
      </c>
      <c r="Q126" s="76">
        <v>18140</v>
      </c>
    </row>
    <row r="127" spans="1:17" s="2" customFormat="1" ht="24" customHeight="1" x14ac:dyDescent="0.25">
      <c r="A127" s="6"/>
      <c r="B127" s="70" t="s">
        <v>77</v>
      </c>
      <c r="C127" s="1138"/>
      <c r="D127" s="1139"/>
      <c r="E127" s="692">
        <f>SUM(F127:Q127)</f>
        <v>412422</v>
      </c>
      <c r="F127" s="78">
        <v>32787</v>
      </c>
      <c r="G127" s="79">
        <v>30853</v>
      </c>
      <c r="H127" s="79">
        <v>29009</v>
      </c>
      <c r="I127" s="79">
        <v>27326</v>
      </c>
      <c r="J127" s="79">
        <v>26302</v>
      </c>
      <c r="K127" s="79">
        <v>38841</v>
      </c>
      <c r="L127" s="79">
        <v>38373</v>
      </c>
      <c r="M127" s="79">
        <v>37966</v>
      </c>
      <c r="N127" s="79">
        <v>37288</v>
      </c>
      <c r="O127" s="79">
        <v>38045</v>
      </c>
      <c r="P127" s="396">
        <v>37851</v>
      </c>
      <c r="Q127" s="80">
        <v>37781</v>
      </c>
    </row>
    <row r="128" spans="1:17" s="2" customFormat="1" ht="24" hidden="1" customHeight="1" x14ac:dyDescent="0.25">
      <c r="A128" s="6"/>
      <c r="B128" s="71" t="s">
        <v>205</v>
      </c>
      <c r="C128" s="1138"/>
      <c r="D128" s="1139"/>
      <c r="E128" s="692">
        <f>SUM(F128:Q128)</f>
        <v>0</v>
      </c>
      <c r="F128" s="359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38"/>
    </row>
    <row r="129" spans="1:17" s="2" customFormat="1" ht="24" customHeight="1" x14ac:dyDescent="0.25">
      <c r="A129" s="6"/>
      <c r="B129" s="71" t="s">
        <v>79</v>
      </c>
      <c r="C129" s="1138"/>
      <c r="D129" s="1139"/>
      <c r="E129" s="692">
        <f>SUM(F129:Q129)</f>
        <v>56104956.780000001</v>
      </c>
      <c r="F129" s="211">
        <v>4821257.41</v>
      </c>
      <c r="G129" s="216">
        <v>4864946</v>
      </c>
      <c r="H129" s="216">
        <v>4874514</v>
      </c>
      <c r="I129" s="107">
        <v>4797387</v>
      </c>
      <c r="J129" s="107">
        <v>4755932.49</v>
      </c>
      <c r="K129" s="107">
        <v>4697509</v>
      </c>
      <c r="L129" s="107">
        <v>4569381.88</v>
      </c>
      <c r="M129" s="216">
        <v>4560305</v>
      </c>
      <c r="N129" s="107">
        <v>4589610</v>
      </c>
      <c r="O129" s="107">
        <v>4531675</v>
      </c>
      <c r="P129" s="107">
        <v>4516371</v>
      </c>
      <c r="Q129" s="197">
        <v>4526068</v>
      </c>
    </row>
    <row r="130" spans="1:17" x14ac:dyDescent="0.3">
      <c r="A130" s="5"/>
      <c r="B130" s="1124" t="s">
        <v>80</v>
      </c>
      <c r="C130" s="1125"/>
      <c r="D130" s="1125"/>
      <c r="E130" s="1125"/>
      <c r="F130" s="1125"/>
      <c r="G130" s="1125"/>
      <c r="H130" s="1125"/>
      <c r="I130" s="1125"/>
      <c r="J130" s="1125"/>
      <c r="K130" s="1125"/>
      <c r="L130" s="1125"/>
      <c r="M130" s="1125"/>
      <c r="N130" s="1125"/>
      <c r="O130" s="1125"/>
      <c r="P130" s="1125"/>
      <c r="Q130" s="1126"/>
    </row>
    <row r="131" spans="1:17" s="2" customFormat="1" ht="24" customHeight="1" x14ac:dyDescent="0.25">
      <c r="A131" s="6"/>
      <c r="B131" s="72" t="s">
        <v>81</v>
      </c>
      <c r="C131" s="1104"/>
      <c r="D131" s="1105"/>
      <c r="E131" s="693">
        <f>SUM(F131:Q131)</f>
        <v>559666</v>
      </c>
      <c r="F131" s="481">
        <v>42227</v>
      </c>
      <c r="G131" s="483">
        <v>37759</v>
      </c>
      <c r="H131" s="483">
        <v>33422</v>
      </c>
      <c r="I131" s="483">
        <v>30341</v>
      </c>
      <c r="J131" s="75">
        <v>27315</v>
      </c>
      <c r="K131" s="483">
        <v>50092</v>
      </c>
      <c r="L131" s="483">
        <v>52255</v>
      </c>
      <c r="M131" s="483">
        <v>53216</v>
      </c>
      <c r="N131" s="483">
        <v>55048</v>
      </c>
      <c r="O131" s="483">
        <v>57962</v>
      </c>
      <c r="P131" s="496">
        <v>59323</v>
      </c>
      <c r="Q131" s="498">
        <v>60706</v>
      </c>
    </row>
    <row r="132" spans="1:17" s="2" customFormat="1" ht="24" customHeight="1" x14ac:dyDescent="0.25">
      <c r="A132" s="6"/>
      <c r="B132" s="70" t="s">
        <v>82</v>
      </c>
      <c r="C132" s="1104"/>
      <c r="D132" s="1105"/>
      <c r="E132" s="693">
        <f>SUM(F132:Q132)</f>
        <v>12670</v>
      </c>
      <c r="F132" s="482">
        <v>1465</v>
      </c>
      <c r="G132" s="484">
        <v>1049</v>
      </c>
      <c r="H132" s="484">
        <v>1049</v>
      </c>
      <c r="I132" s="484">
        <v>885</v>
      </c>
      <c r="J132" s="484">
        <v>707</v>
      </c>
      <c r="K132" s="484">
        <v>1797</v>
      </c>
      <c r="L132" s="484">
        <v>1854</v>
      </c>
      <c r="M132" s="484">
        <v>1887</v>
      </c>
      <c r="N132" s="484">
        <v>1977</v>
      </c>
      <c r="O132" s="44" t="s">
        <v>144</v>
      </c>
      <c r="P132" s="256" t="s">
        <v>144</v>
      </c>
      <c r="Q132" s="45" t="s">
        <v>144</v>
      </c>
    </row>
    <row r="133" spans="1:17" s="2" customFormat="1" ht="24" customHeight="1" x14ac:dyDescent="0.25">
      <c r="A133" s="6"/>
      <c r="B133" s="71" t="s">
        <v>166</v>
      </c>
      <c r="C133" s="1104"/>
      <c r="D133" s="1105"/>
      <c r="E133" s="693">
        <f>SUM(F133:Q133)</f>
        <v>7734</v>
      </c>
      <c r="F133" s="30">
        <v>644</v>
      </c>
      <c r="G133" s="31">
        <v>629</v>
      </c>
      <c r="H133" s="31">
        <v>612</v>
      </c>
      <c r="I133" s="234">
        <v>598</v>
      </c>
      <c r="J133" s="31">
        <v>587</v>
      </c>
      <c r="K133" s="31">
        <v>690</v>
      </c>
      <c r="L133" s="31">
        <v>676</v>
      </c>
      <c r="M133" s="31">
        <v>652</v>
      </c>
      <c r="N133" s="31">
        <v>646</v>
      </c>
      <c r="O133" s="31">
        <v>659</v>
      </c>
      <c r="P133" s="234">
        <v>672</v>
      </c>
      <c r="Q133" s="32">
        <v>669</v>
      </c>
    </row>
    <row r="134" spans="1:17" s="2" customFormat="1" ht="36.6" customHeight="1" x14ac:dyDescent="0.25">
      <c r="A134" s="6"/>
      <c r="B134" s="103" t="s">
        <v>260</v>
      </c>
      <c r="C134" s="1104"/>
      <c r="D134" s="1105"/>
      <c r="E134" s="693">
        <f>SUM(F134:Q134)</f>
        <v>1.8613464253625978</v>
      </c>
      <c r="F134" s="414">
        <f>SUM(F131:F133)/R177</f>
        <v>0.1422667180079579</v>
      </c>
      <c r="G134" s="415">
        <f>SUM(G131:G133)/R177</f>
        <v>0.12654665639840842</v>
      </c>
      <c r="H134" s="455">
        <f>SUM(H131:H133)/R177</f>
        <v>0.11257540752149917</v>
      </c>
      <c r="I134" s="353">
        <f>SUM(I131:I133)/R177</f>
        <v>0.10211782826338082</v>
      </c>
      <c r="J134" s="353">
        <f>SUM(J131:J133)/R177</f>
        <v>9.1801437556154539E-2</v>
      </c>
      <c r="K134" s="353">
        <f>SUM(K131:K133)/R177</f>
        <v>0.16871710948530355</v>
      </c>
      <c r="L134" s="353">
        <f>SUM(L131:L133)/R177</f>
        <v>0.17579579001411885</v>
      </c>
      <c r="M134" s="353">
        <f>SUM(M131:M133)/R177</f>
        <v>0.17890835579514824</v>
      </c>
      <c r="N134" s="353">
        <f>SUM(N131:N133)/R177</f>
        <v>0.18505647542035683</v>
      </c>
      <c r="O134" s="353">
        <f>SUM(O131,O133)/R177</f>
        <v>0.18810486458734438</v>
      </c>
      <c r="P134" s="353">
        <f>SUM(P131,P133)/R177</f>
        <v>0.19251379797201901</v>
      </c>
      <c r="Q134" s="353">
        <f>SUM(Q131,Q133)/R177</f>
        <v>0.19694198434090618</v>
      </c>
    </row>
    <row r="135" spans="1:17" s="2" customFormat="1" ht="23.45" customHeight="1" x14ac:dyDescent="0.25">
      <c r="A135" s="6"/>
      <c r="B135" s="280" t="s">
        <v>57</v>
      </c>
      <c r="C135" s="261"/>
      <c r="D135" s="281"/>
      <c r="E135" s="693">
        <f>SUM(F135:Q135)</f>
        <v>3850262</v>
      </c>
      <c r="F135" s="106">
        <v>329030</v>
      </c>
      <c r="G135" s="259">
        <v>323244</v>
      </c>
      <c r="H135" s="259">
        <v>330370</v>
      </c>
      <c r="I135" s="259">
        <v>318075</v>
      </c>
      <c r="J135" s="259">
        <v>319688</v>
      </c>
      <c r="K135" s="259">
        <v>329708</v>
      </c>
      <c r="L135" s="259">
        <v>315558</v>
      </c>
      <c r="M135" s="259">
        <v>311385</v>
      </c>
      <c r="N135" s="259">
        <v>302509</v>
      </c>
      <c r="O135" s="259">
        <v>315027</v>
      </c>
      <c r="P135" s="259">
        <v>337157</v>
      </c>
      <c r="Q135" s="294">
        <v>318511</v>
      </c>
    </row>
    <row r="136" spans="1:17" x14ac:dyDescent="0.3">
      <c r="A136" s="5"/>
      <c r="B136" s="1124" t="s">
        <v>88</v>
      </c>
      <c r="C136" s="1125"/>
      <c r="D136" s="1125"/>
      <c r="E136" s="1125"/>
      <c r="F136" s="1125"/>
      <c r="G136" s="1125"/>
      <c r="H136" s="1125"/>
      <c r="I136" s="1125"/>
      <c r="J136" s="1125"/>
      <c r="K136" s="1125"/>
      <c r="L136" s="1125"/>
      <c r="M136" s="1125"/>
      <c r="N136" s="1125"/>
      <c r="O136" s="1125"/>
      <c r="P136" s="1125"/>
      <c r="Q136" s="1126"/>
    </row>
    <row r="137" spans="1:17" x14ac:dyDescent="0.3">
      <c r="A137" s="5"/>
      <c r="B137" s="1116" t="s">
        <v>87</v>
      </c>
      <c r="C137" s="1117"/>
      <c r="D137" s="1117"/>
      <c r="E137" s="1117"/>
      <c r="F137" s="1117"/>
      <c r="G137" s="1117"/>
      <c r="H137" s="1117"/>
      <c r="I137" s="1117"/>
      <c r="J137" s="1117"/>
      <c r="K137" s="1117"/>
      <c r="L137" s="1117"/>
      <c r="M137" s="1117"/>
      <c r="N137" s="1117"/>
      <c r="O137" s="1117"/>
      <c r="P137" s="1117"/>
      <c r="Q137" s="1118"/>
    </row>
    <row r="138" spans="1:17" s="2" customFormat="1" ht="24" customHeight="1" x14ac:dyDescent="0.25">
      <c r="A138" s="6"/>
      <c r="B138" s="72" t="s">
        <v>83</v>
      </c>
      <c r="C138" s="1104"/>
      <c r="D138" s="1105"/>
      <c r="E138" s="69">
        <f>SUM(F138:Q138)</f>
        <v>4108</v>
      </c>
      <c r="F138" s="24">
        <v>365</v>
      </c>
      <c r="G138" s="222">
        <v>367</v>
      </c>
      <c r="H138" s="222">
        <v>365</v>
      </c>
      <c r="I138" s="222">
        <v>365</v>
      </c>
      <c r="J138" s="222">
        <v>350</v>
      </c>
      <c r="K138" s="222">
        <v>355</v>
      </c>
      <c r="L138" s="222">
        <v>333</v>
      </c>
      <c r="M138" s="222">
        <f>SUM(M139:M140)</f>
        <v>335</v>
      </c>
      <c r="N138" s="222">
        <f>SUM(N139:N140)</f>
        <v>322</v>
      </c>
      <c r="O138" s="222">
        <v>317</v>
      </c>
      <c r="P138" s="222">
        <v>314</v>
      </c>
      <c r="Q138" s="267">
        <v>320</v>
      </c>
    </row>
    <row r="139" spans="1:17" s="2" customFormat="1" ht="24" customHeight="1" x14ac:dyDescent="0.25">
      <c r="A139" s="6"/>
      <c r="B139" s="185" t="s">
        <v>84</v>
      </c>
      <c r="C139" s="1104"/>
      <c r="D139" s="1105"/>
      <c r="E139" s="69">
        <f>SUM(F139:Q139)</f>
        <v>3156</v>
      </c>
      <c r="F139" s="43">
        <v>285</v>
      </c>
      <c r="G139" s="44">
        <v>273</v>
      </c>
      <c r="H139" s="44">
        <v>272</v>
      </c>
      <c r="I139" s="44">
        <v>270</v>
      </c>
      <c r="J139" s="44">
        <v>270</v>
      </c>
      <c r="K139" s="44">
        <v>270</v>
      </c>
      <c r="L139" s="44">
        <v>264</v>
      </c>
      <c r="M139" s="44">
        <v>264</v>
      </c>
      <c r="N139" s="44">
        <v>258</v>
      </c>
      <c r="O139" s="44">
        <v>249</v>
      </c>
      <c r="P139" s="256">
        <v>239</v>
      </c>
      <c r="Q139" s="45">
        <v>242</v>
      </c>
    </row>
    <row r="140" spans="1:17" s="2" customFormat="1" ht="24" customHeight="1" x14ac:dyDescent="0.25">
      <c r="A140" s="6"/>
      <c r="B140" s="185" t="s">
        <v>85</v>
      </c>
      <c r="C140" s="1104"/>
      <c r="D140" s="1105"/>
      <c r="E140" s="69">
        <f>SUM(F140:Q140)</f>
        <v>952</v>
      </c>
      <c r="F140" s="43">
        <v>80</v>
      </c>
      <c r="G140" s="44">
        <v>94</v>
      </c>
      <c r="H140" s="44">
        <v>93</v>
      </c>
      <c r="I140" s="44">
        <v>95</v>
      </c>
      <c r="J140" s="44">
        <v>80</v>
      </c>
      <c r="K140" s="44">
        <v>85</v>
      </c>
      <c r="L140" s="44">
        <v>69</v>
      </c>
      <c r="M140" s="44">
        <v>71</v>
      </c>
      <c r="N140" s="44">
        <v>64</v>
      </c>
      <c r="O140" s="44">
        <v>68</v>
      </c>
      <c r="P140" s="256">
        <v>75</v>
      </c>
      <c r="Q140" s="45">
        <v>78</v>
      </c>
    </row>
    <row r="141" spans="1:17" s="2" customFormat="1" ht="24" customHeight="1" x14ac:dyDescent="0.25">
      <c r="A141" s="6"/>
      <c r="B141" s="71" t="s">
        <v>86</v>
      </c>
      <c r="C141" s="1104"/>
      <c r="D141" s="1105"/>
      <c r="E141" s="69">
        <f>SUM(F141:Q141)</f>
        <v>883408</v>
      </c>
      <c r="F141" s="106">
        <f>9611+56903+0+6678+8617</f>
        <v>81809</v>
      </c>
      <c r="G141" s="107">
        <f>12723+54782+0+7521+7169</f>
        <v>82195</v>
      </c>
      <c r="H141" s="107">
        <f>14547+54694+0+7055+6264</f>
        <v>82560</v>
      </c>
      <c r="I141" s="216">
        <f>14733+54706+8134+4635</f>
        <v>82208</v>
      </c>
      <c r="J141" s="216">
        <f>10963+55694+0+4230+3966</f>
        <v>74853</v>
      </c>
      <c r="K141" s="107">
        <f>13733+56551+0+4309+2463</f>
        <v>77056</v>
      </c>
      <c r="L141" s="107">
        <f>12731+53487+0+4863+1503</f>
        <v>72584</v>
      </c>
      <c r="M141" s="107">
        <f>12211+54075+0+6096+905</f>
        <v>73287</v>
      </c>
      <c r="N141" s="107">
        <f>9091+52283+0+2424+724</f>
        <v>64522</v>
      </c>
      <c r="O141" s="108">
        <f>10920+51342+0+2415+724</f>
        <v>65401</v>
      </c>
      <c r="P141" s="259">
        <f>11057+49893+0+1707+1086</f>
        <v>63743</v>
      </c>
      <c r="Q141" s="197">
        <f>9626+49046+0+3794+724</f>
        <v>63190</v>
      </c>
    </row>
    <row r="142" spans="1:17" x14ac:dyDescent="0.3">
      <c r="A142" s="5"/>
      <c r="B142" s="1116" t="s">
        <v>89</v>
      </c>
      <c r="C142" s="1117"/>
      <c r="D142" s="1117"/>
      <c r="E142" s="1117"/>
      <c r="F142" s="1117"/>
      <c r="G142" s="1117"/>
      <c r="H142" s="1117"/>
      <c r="I142" s="1117"/>
      <c r="J142" s="1117"/>
      <c r="K142" s="1117"/>
      <c r="L142" s="1117"/>
      <c r="M142" s="1117"/>
      <c r="N142" s="1117"/>
      <c r="O142" s="1117"/>
      <c r="P142" s="1117"/>
      <c r="Q142" s="1118"/>
    </row>
    <row r="143" spans="1:17" s="2" customFormat="1" ht="24" customHeight="1" x14ac:dyDescent="0.25">
      <c r="A143" s="6"/>
      <c r="B143" s="72" t="s">
        <v>90</v>
      </c>
      <c r="C143" s="1104"/>
      <c r="D143" s="1105"/>
      <c r="E143" s="694">
        <f>SUM(F143:Q143)</f>
        <v>934</v>
      </c>
      <c r="F143" s="456">
        <v>62</v>
      </c>
      <c r="G143" s="457">
        <v>94</v>
      </c>
      <c r="H143" s="25">
        <v>93</v>
      </c>
      <c r="I143" s="222">
        <v>95</v>
      </c>
      <c r="J143" s="25">
        <v>80</v>
      </c>
      <c r="K143" s="25">
        <v>85</v>
      </c>
      <c r="L143" s="25">
        <v>69</v>
      </c>
      <c r="M143" s="25">
        <v>71</v>
      </c>
      <c r="N143" s="25">
        <v>64</v>
      </c>
      <c r="O143" s="25">
        <v>68</v>
      </c>
      <c r="P143" s="25">
        <v>75</v>
      </c>
      <c r="Q143" s="202">
        <v>78</v>
      </c>
    </row>
    <row r="144" spans="1:17" s="2" customFormat="1" ht="39.6" hidden="1" customHeight="1" x14ac:dyDescent="0.25">
      <c r="A144" s="6"/>
      <c r="B144" s="109" t="s">
        <v>91</v>
      </c>
      <c r="C144" s="1140"/>
      <c r="D144" s="1141"/>
      <c r="E144" s="169">
        <f>SUM(F144:Q144)</f>
        <v>0</v>
      </c>
      <c r="F144" s="418"/>
      <c r="G144" s="417"/>
      <c r="H144" s="231"/>
      <c r="I144" s="485"/>
      <c r="J144" s="231"/>
      <c r="K144" s="231"/>
      <c r="L144" s="231"/>
      <c r="M144" s="231"/>
      <c r="N144" s="231"/>
      <c r="O144" s="231"/>
      <c r="P144" s="231"/>
      <c r="Q144" s="271"/>
    </row>
    <row r="145" spans="1:17" s="2" customFormat="1" ht="24" hidden="1" customHeight="1" x14ac:dyDescent="0.25">
      <c r="A145" s="6"/>
      <c r="B145" s="71" t="s">
        <v>92</v>
      </c>
      <c r="C145" s="1140"/>
      <c r="D145" s="1141"/>
      <c r="E145" s="169">
        <f>SUM(F145:Q145)</f>
        <v>0</v>
      </c>
      <c r="F145" s="418"/>
      <c r="G145" s="417"/>
      <c r="H145" s="225"/>
      <c r="I145" s="486"/>
      <c r="J145" s="225"/>
      <c r="K145" s="225"/>
      <c r="L145" s="225"/>
      <c r="M145" s="225"/>
      <c r="N145" s="225"/>
      <c r="O145" s="225"/>
      <c r="P145" s="225"/>
      <c r="Q145" s="272"/>
    </row>
    <row r="146" spans="1:17" s="2" customFormat="1" ht="24" customHeight="1" x14ac:dyDescent="0.25">
      <c r="A146" s="6"/>
      <c r="B146" s="70" t="s">
        <v>132</v>
      </c>
      <c r="C146" s="73">
        <v>132</v>
      </c>
      <c r="D146" s="116">
        <v>115</v>
      </c>
      <c r="E146" s="169">
        <f>SUM(F146:Q146)</f>
        <v>89</v>
      </c>
      <c r="F146" s="456">
        <v>4</v>
      </c>
      <c r="G146" s="457">
        <v>10</v>
      </c>
      <c r="H146" s="358">
        <v>14</v>
      </c>
      <c r="I146" s="463">
        <v>11</v>
      </c>
      <c r="J146" s="358">
        <v>6</v>
      </c>
      <c r="K146" s="358">
        <v>14</v>
      </c>
      <c r="L146" s="195">
        <v>6</v>
      </c>
      <c r="M146" s="358">
        <v>6</v>
      </c>
      <c r="N146" s="358">
        <v>2</v>
      </c>
      <c r="O146" s="358">
        <v>10</v>
      </c>
      <c r="P146" s="195">
        <v>6</v>
      </c>
      <c r="Q146" s="398" t="s">
        <v>144</v>
      </c>
    </row>
    <row r="147" spans="1:17" s="2" customFormat="1" ht="24" customHeight="1" x14ac:dyDescent="0.25">
      <c r="A147" s="6"/>
      <c r="B147" s="118" t="s">
        <v>133</v>
      </c>
      <c r="C147" s="119">
        <v>220</v>
      </c>
      <c r="D147" s="120">
        <v>250</v>
      </c>
      <c r="E147" s="170">
        <f>SUM(F147:Q147)</f>
        <v>175</v>
      </c>
      <c r="F147" s="251">
        <v>21</v>
      </c>
      <c r="G147" s="238">
        <v>20</v>
      </c>
      <c r="H147" s="238">
        <v>20</v>
      </c>
      <c r="I147" s="238">
        <v>25</v>
      </c>
      <c r="J147" s="238">
        <v>16</v>
      </c>
      <c r="K147" s="238">
        <v>18</v>
      </c>
      <c r="L147" s="238">
        <v>12</v>
      </c>
      <c r="M147" s="238">
        <v>15</v>
      </c>
      <c r="N147" s="238">
        <v>9</v>
      </c>
      <c r="O147" s="238">
        <v>6</v>
      </c>
      <c r="P147" s="397">
        <v>4</v>
      </c>
      <c r="Q147" s="399">
        <v>9</v>
      </c>
    </row>
    <row r="148" spans="1:17" x14ac:dyDescent="0.3">
      <c r="A148" s="5"/>
      <c r="B148" s="1098" t="s">
        <v>93</v>
      </c>
      <c r="C148" s="1099"/>
      <c r="D148" s="1099"/>
      <c r="E148" s="1099"/>
      <c r="F148" s="1099"/>
      <c r="G148" s="1099"/>
      <c r="H148" s="1099"/>
      <c r="I148" s="1099"/>
      <c r="J148" s="1099"/>
      <c r="K148" s="1099"/>
      <c r="L148" s="1099"/>
      <c r="M148" s="1099"/>
      <c r="N148" s="1099"/>
      <c r="O148" s="1099"/>
      <c r="P148" s="1099"/>
      <c r="Q148" s="1100"/>
    </row>
    <row r="149" spans="1:17" x14ac:dyDescent="0.3">
      <c r="A149" s="5"/>
      <c r="B149" s="1124" t="s">
        <v>94</v>
      </c>
      <c r="C149" s="1125"/>
      <c r="D149" s="1125"/>
      <c r="E149" s="1125"/>
      <c r="F149" s="1125"/>
      <c r="G149" s="1125"/>
      <c r="H149" s="1125"/>
      <c r="I149" s="1125"/>
      <c r="J149" s="1125"/>
      <c r="K149" s="1125"/>
      <c r="L149" s="1125"/>
      <c r="M149" s="1125"/>
      <c r="N149" s="1125"/>
      <c r="O149" s="1125"/>
      <c r="P149" s="1125"/>
      <c r="Q149" s="1126"/>
    </row>
    <row r="150" spans="1:17" s="2" customFormat="1" ht="24" customHeight="1" x14ac:dyDescent="0.25">
      <c r="A150" s="6"/>
      <c r="B150" s="72" t="s">
        <v>125</v>
      </c>
      <c r="C150" s="124">
        <v>746485.88</v>
      </c>
      <c r="D150" s="125">
        <v>655238.52</v>
      </c>
      <c r="E150" s="192">
        <f>SUM(F150:Q150)</f>
        <v>1220459.73</v>
      </c>
      <c r="F150" s="419">
        <f t="shared" ref="F150:K150" si="9">SUM(F151:F156)</f>
        <v>48014.469999999994</v>
      </c>
      <c r="G150" s="420">
        <f t="shared" si="9"/>
        <v>50432.380000000005</v>
      </c>
      <c r="H150" s="221">
        <f t="shared" si="9"/>
        <v>58917.09</v>
      </c>
      <c r="I150" s="221">
        <f t="shared" si="9"/>
        <v>44010.990000000005</v>
      </c>
      <c r="J150" s="221">
        <f t="shared" si="9"/>
        <v>59367.159999999996</v>
      </c>
      <c r="K150" s="221">
        <f t="shared" si="9"/>
        <v>45500.31</v>
      </c>
      <c r="L150" s="221">
        <f t="shared" ref="L150:Q150" si="10">SUM(L151:L156)</f>
        <v>50057.68</v>
      </c>
      <c r="M150" s="221">
        <f t="shared" si="10"/>
        <v>70840.010000000009</v>
      </c>
      <c r="N150" s="221">
        <f t="shared" si="10"/>
        <v>402038.18000000005</v>
      </c>
      <c r="O150" s="221">
        <f t="shared" si="10"/>
        <v>152611.22</v>
      </c>
      <c r="P150" s="221">
        <f t="shared" si="10"/>
        <v>129288.19</v>
      </c>
      <c r="Q150" s="274">
        <f t="shared" si="10"/>
        <v>109382.05</v>
      </c>
    </row>
    <row r="151" spans="1:17" s="2" customFormat="1" ht="24" customHeight="1" x14ac:dyDescent="0.25">
      <c r="A151" s="6"/>
      <c r="B151" s="191" t="s">
        <v>126</v>
      </c>
      <c r="C151" s="124">
        <v>7722.46</v>
      </c>
      <c r="D151" s="125">
        <v>8784.26</v>
      </c>
      <c r="E151" s="192">
        <f t="shared" ref="E151:E156" si="11">SUM(F151:Q151)</f>
        <v>10425.06</v>
      </c>
      <c r="F151" s="421">
        <v>1148.06</v>
      </c>
      <c r="G151" s="422">
        <v>563</v>
      </c>
      <c r="H151" s="127">
        <v>597</v>
      </c>
      <c r="I151" s="127">
        <v>705</v>
      </c>
      <c r="J151" s="127">
        <v>529</v>
      </c>
      <c r="K151" s="127">
        <v>748</v>
      </c>
      <c r="L151" s="127">
        <v>513</v>
      </c>
      <c r="M151" s="127">
        <v>857</v>
      </c>
      <c r="N151" s="127">
        <v>496</v>
      </c>
      <c r="O151" s="127">
        <v>1887</v>
      </c>
      <c r="P151" s="221">
        <v>1291</v>
      </c>
      <c r="Q151" s="128">
        <v>1091</v>
      </c>
    </row>
    <row r="152" spans="1:17" s="2" customFormat="1" ht="24" customHeight="1" x14ac:dyDescent="0.25">
      <c r="A152" s="6"/>
      <c r="B152" s="185" t="s">
        <v>127</v>
      </c>
      <c r="C152" s="130">
        <v>687338.45</v>
      </c>
      <c r="D152" s="131">
        <v>589832.02</v>
      </c>
      <c r="E152" s="193">
        <f t="shared" si="11"/>
        <v>1083396.19</v>
      </c>
      <c r="F152" s="423">
        <v>41714.53</v>
      </c>
      <c r="G152" s="424">
        <v>46018.98</v>
      </c>
      <c r="H152" s="133">
        <v>42999.09</v>
      </c>
      <c r="I152" s="133">
        <v>38963.440000000002</v>
      </c>
      <c r="J152" s="133">
        <v>53140.17</v>
      </c>
      <c r="K152" s="133">
        <v>40065.589999999997</v>
      </c>
      <c r="L152" s="133">
        <v>45731.68</v>
      </c>
      <c r="M152" s="133">
        <v>45218.01</v>
      </c>
      <c r="N152" s="134">
        <v>372951.78</v>
      </c>
      <c r="O152" s="133">
        <v>138317.76999999999</v>
      </c>
      <c r="P152" s="257">
        <v>119390.69</v>
      </c>
      <c r="Q152" s="135">
        <v>98884.46</v>
      </c>
    </row>
    <row r="153" spans="1:17" s="2" customFormat="1" ht="24" customHeight="1" x14ac:dyDescent="0.25">
      <c r="A153" s="6"/>
      <c r="B153" s="185" t="s">
        <v>128</v>
      </c>
      <c r="C153" s="130">
        <v>15257.31</v>
      </c>
      <c r="D153" s="131">
        <v>24142.86</v>
      </c>
      <c r="E153" s="193">
        <f t="shared" si="11"/>
        <v>38427.760000000002</v>
      </c>
      <c r="F153" s="423">
        <v>2625.88</v>
      </c>
      <c r="G153" s="424">
        <v>2549.4</v>
      </c>
      <c r="H153" s="133">
        <v>1814</v>
      </c>
      <c r="I153" s="133">
        <v>3232.55</v>
      </c>
      <c r="J153" s="133">
        <v>2277.9899999999998</v>
      </c>
      <c r="K153" s="133">
        <v>3856.72</v>
      </c>
      <c r="L153" s="133">
        <v>3034</v>
      </c>
      <c r="M153" s="133">
        <v>2101</v>
      </c>
      <c r="N153" s="133">
        <v>4889.8999999999996</v>
      </c>
      <c r="O153" s="133">
        <v>4125.45</v>
      </c>
      <c r="P153" s="257">
        <v>4776.1499999999996</v>
      </c>
      <c r="Q153" s="135">
        <v>3144.72</v>
      </c>
    </row>
    <row r="154" spans="1:17" s="2" customFormat="1" ht="24" customHeight="1" x14ac:dyDescent="0.25">
      <c r="A154" s="6"/>
      <c r="B154" s="185" t="s">
        <v>129</v>
      </c>
      <c r="C154" s="130">
        <v>35917.660000000003</v>
      </c>
      <c r="D154" s="131">
        <v>29172.38</v>
      </c>
      <c r="E154" s="193">
        <f t="shared" si="11"/>
        <v>73375.72</v>
      </c>
      <c r="F154" s="423">
        <v>2100</v>
      </c>
      <c r="G154" s="424">
        <v>650</v>
      </c>
      <c r="H154" s="133">
        <v>12775</v>
      </c>
      <c r="I154" s="133">
        <v>470</v>
      </c>
      <c r="J154" s="133">
        <v>2940</v>
      </c>
      <c r="K154" s="133">
        <v>150</v>
      </c>
      <c r="L154" s="133">
        <v>474</v>
      </c>
      <c r="M154" s="133">
        <v>21808</v>
      </c>
      <c r="N154" s="133">
        <v>17106.5</v>
      </c>
      <c r="O154" s="133">
        <v>7033</v>
      </c>
      <c r="P154" s="257">
        <v>2643.35</v>
      </c>
      <c r="Q154" s="135">
        <v>5225.87</v>
      </c>
    </row>
    <row r="155" spans="1:17" s="2" customFormat="1" ht="24" customHeight="1" x14ac:dyDescent="0.25">
      <c r="A155" s="6"/>
      <c r="B155" s="185" t="s">
        <v>130</v>
      </c>
      <c r="C155" s="130">
        <v>250</v>
      </c>
      <c r="D155" s="131">
        <v>3307</v>
      </c>
      <c r="E155" s="193">
        <f t="shared" si="11"/>
        <v>14835</v>
      </c>
      <c r="F155" s="423">
        <v>426</v>
      </c>
      <c r="G155" s="424">
        <v>651</v>
      </c>
      <c r="H155" s="133">
        <v>732</v>
      </c>
      <c r="I155" s="133">
        <v>640</v>
      </c>
      <c r="J155" s="133">
        <v>480</v>
      </c>
      <c r="K155" s="133">
        <v>680</v>
      </c>
      <c r="L155" s="133">
        <v>305</v>
      </c>
      <c r="M155" s="133">
        <v>856</v>
      </c>
      <c r="N155" s="133">
        <v>6594</v>
      </c>
      <c r="O155" s="133">
        <v>1248</v>
      </c>
      <c r="P155" s="257">
        <v>1187</v>
      </c>
      <c r="Q155" s="135">
        <v>1036</v>
      </c>
    </row>
    <row r="156" spans="1:17" s="2" customFormat="1" ht="24" customHeight="1" x14ac:dyDescent="0.25">
      <c r="A156" s="6"/>
      <c r="B156" s="188" t="s">
        <v>131</v>
      </c>
      <c r="C156" s="136">
        <v>0</v>
      </c>
      <c r="D156" s="137">
        <v>0</v>
      </c>
      <c r="E156" s="194">
        <f t="shared" si="11"/>
        <v>0</v>
      </c>
      <c r="F156" s="425">
        <v>0</v>
      </c>
      <c r="G156" s="426">
        <v>0</v>
      </c>
      <c r="H156" s="139">
        <v>0</v>
      </c>
      <c r="I156" s="139">
        <v>0</v>
      </c>
      <c r="J156" s="139">
        <v>0</v>
      </c>
      <c r="K156" s="139">
        <v>0</v>
      </c>
      <c r="L156" s="139">
        <v>0</v>
      </c>
      <c r="M156" s="139">
        <v>0</v>
      </c>
      <c r="N156" s="139">
        <v>0</v>
      </c>
      <c r="O156" s="139">
        <v>0</v>
      </c>
      <c r="P156" s="258">
        <v>0</v>
      </c>
      <c r="Q156" s="140">
        <v>0</v>
      </c>
    </row>
    <row r="157" spans="1:17" x14ac:dyDescent="0.3">
      <c r="A157" s="5"/>
      <c r="B157" s="1124" t="s">
        <v>95</v>
      </c>
      <c r="C157" s="1125"/>
      <c r="D157" s="1125"/>
      <c r="E157" s="1125"/>
      <c r="F157" s="1125"/>
      <c r="G157" s="1125"/>
      <c r="H157" s="1125"/>
      <c r="I157" s="1125"/>
      <c r="J157" s="1125"/>
      <c r="K157" s="1125"/>
      <c r="L157" s="1125"/>
      <c r="M157" s="1125"/>
      <c r="N157" s="1125"/>
      <c r="O157" s="1125"/>
      <c r="P157" s="1125"/>
      <c r="Q157" s="1126"/>
    </row>
    <row r="158" spans="1:17" s="2" customFormat="1" ht="24" customHeight="1" x14ac:dyDescent="0.25">
      <c r="A158" s="6"/>
      <c r="B158" s="72" t="s">
        <v>96</v>
      </c>
      <c r="C158" s="73">
        <v>109666</v>
      </c>
      <c r="D158" s="40">
        <v>117452</v>
      </c>
      <c r="E158" s="159">
        <f>SUM(F158:Q158)</f>
        <v>115307</v>
      </c>
      <c r="F158" s="74">
        <f t="shared" ref="F158:K158" si="12">SUM(F159:F160)</f>
        <v>9442</v>
      </c>
      <c r="G158" s="224">
        <f t="shared" si="12"/>
        <v>10619</v>
      </c>
      <c r="H158" s="224">
        <f t="shared" si="12"/>
        <v>9903</v>
      </c>
      <c r="I158" s="224">
        <f t="shared" si="12"/>
        <v>10207</v>
      </c>
      <c r="J158" s="224">
        <f t="shared" si="12"/>
        <v>9423</v>
      </c>
      <c r="K158" s="224">
        <f t="shared" si="12"/>
        <v>8845</v>
      </c>
      <c r="L158" s="224">
        <f>SUM(L159:L160)</f>
        <v>10054</v>
      </c>
      <c r="M158" s="224">
        <f>SUM(M159:M160)</f>
        <v>10087</v>
      </c>
      <c r="N158" s="224">
        <f>SUM(N159:N160)</f>
        <v>8896</v>
      </c>
      <c r="O158" s="224">
        <v>8716</v>
      </c>
      <c r="P158" s="495">
        <f>SUM(P159:P160)</f>
        <v>9915</v>
      </c>
      <c r="Q158" s="500">
        <f>SUM(Q159:Q160)</f>
        <v>9200</v>
      </c>
    </row>
    <row r="159" spans="1:17" s="2" customFormat="1" ht="24" customHeight="1" x14ac:dyDescent="0.25">
      <c r="A159" s="6"/>
      <c r="B159" s="191" t="s">
        <v>97</v>
      </c>
      <c r="C159" s="73">
        <v>101569</v>
      </c>
      <c r="D159" s="40">
        <v>111992</v>
      </c>
      <c r="E159" s="159">
        <f>SUM(F159:Q159)</f>
        <v>109156</v>
      </c>
      <c r="F159" s="74">
        <v>9163</v>
      </c>
      <c r="G159" s="224">
        <v>10133</v>
      </c>
      <c r="H159" s="224">
        <v>9543</v>
      </c>
      <c r="I159" s="224">
        <v>9911</v>
      </c>
      <c r="J159" s="224">
        <v>9118</v>
      </c>
      <c r="K159" s="224">
        <v>8652</v>
      </c>
      <c r="L159" s="224">
        <v>9760</v>
      </c>
      <c r="M159" s="224">
        <v>9376</v>
      </c>
      <c r="N159" s="224">
        <v>8362</v>
      </c>
      <c r="O159" s="224">
        <v>8414</v>
      </c>
      <c r="P159" s="496">
        <v>8303</v>
      </c>
      <c r="Q159" s="499">
        <v>8421</v>
      </c>
    </row>
    <row r="160" spans="1:17" s="2" customFormat="1" ht="24" customHeight="1" x14ac:dyDescent="0.25">
      <c r="A160" s="6"/>
      <c r="B160" s="185" t="s">
        <v>134</v>
      </c>
      <c r="C160" s="77">
        <v>8097</v>
      </c>
      <c r="D160" s="42">
        <v>5460</v>
      </c>
      <c r="E160" s="163">
        <f>SUM(F160:Q160)</f>
        <v>6151</v>
      </c>
      <c r="F160" s="78">
        <v>279</v>
      </c>
      <c r="G160" s="218">
        <v>486</v>
      </c>
      <c r="H160" s="218">
        <v>360</v>
      </c>
      <c r="I160" s="218">
        <v>296</v>
      </c>
      <c r="J160" s="218">
        <v>305</v>
      </c>
      <c r="K160" s="218">
        <v>193</v>
      </c>
      <c r="L160" s="218">
        <v>294</v>
      </c>
      <c r="M160" s="218">
        <v>711</v>
      </c>
      <c r="N160" s="218">
        <v>534</v>
      </c>
      <c r="O160" s="218">
        <v>302</v>
      </c>
      <c r="P160" s="492">
        <v>1612</v>
      </c>
      <c r="Q160" s="275">
        <v>779</v>
      </c>
    </row>
    <row r="161" spans="1:17" s="2" customFormat="1" ht="24" customHeight="1" x14ac:dyDescent="0.25">
      <c r="A161" s="6"/>
      <c r="B161" s="70" t="s">
        <v>135</v>
      </c>
      <c r="C161" s="77">
        <v>210862</v>
      </c>
      <c r="D161" s="42">
        <v>191581</v>
      </c>
      <c r="E161" s="163">
        <f>SUM(F161:Q161)</f>
        <v>176953</v>
      </c>
      <c r="F161" s="78">
        <v>14844</v>
      </c>
      <c r="G161" s="218">
        <v>19074</v>
      </c>
      <c r="H161" s="218">
        <v>16806</v>
      </c>
      <c r="I161" s="218">
        <v>18528</v>
      </c>
      <c r="J161" s="218">
        <v>15548</v>
      </c>
      <c r="K161" s="218">
        <v>13596</v>
      </c>
      <c r="L161" s="218">
        <v>15018</v>
      </c>
      <c r="M161" s="218">
        <v>13256</v>
      </c>
      <c r="N161" s="218">
        <v>11858</v>
      </c>
      <c r="O161" s="218">
        <v>13080</v>
      </c>
      <c r="P161" s="492">
        <v>11895</v>
      </c>
      <c r="Q161" s="502">
        <v>13450</v>
      </c>
    </row>
    <row r="162" spans="1:17" s="2" customFormat="1" ht="24" customHeight="1" x14ac:dyDescent="0.25">
      <c r="A162" s="6"/>
      <c r="B162" s="185" t="s">
        <v>98</v>
      </c>
      <c r="C162" s="77">
        <v>208429</v>
      </c>
      <c r="D162" s="42">
        <v>188764</v>
      </c>
      <c r="E162" s="163">
        <f>SUM(F162:Q162)</f>
        <v>171124</v>
      </c>
      <c r="F162" s="81">
        <v>14704</v>
      </c>
      <c r="G162" s="219">
        <v>18589</v>
      </c>
      <c r="H162" s="219">
        <v>16426</v>
      </c>
      <c r="I162" s="219">
        <v>18097</v>
      </c>
      <c r="J162" s="219">
        <v>14931</v>
      </c>
      <c r="K162" s="219">
        <v>13030</v>
      </c>
      <c r="L162" s="219">
        <v>14470</v>
      </c>
      <c r="M162" s="219">
        <v>12736</v>
      </c>
      <c r="N162" s="219">
        <v>11362</v>
      </c>
      <c r="O162" s="219">
        <v>12357</v>
      </c>
      <c r="P162" s="493">
        <v>11487</v>
      </c>
      <c r="Q162" s="503">
        <v>12935</v>
      </c>
    </row>
    <row r="163" spans="1:17" s="2" customFormat="1" ht="24" customHeight="1" x14ac:dyDescent="0.25">
      <c r="A163" s="6"/>
      <c r="B163" s="188" t="s">
        <v>118</v>
      </c>
      <c r="C163" s="141">
        <v>0.98850000000000005</v>
      </c>
      <c r="D163" s="142">
        <v>0.98529999999999995</v>
      </c>
      <c r="E163" s="174">
        <f>E162/E161</f>
        <v>0.9670590495781366</v>
      </c>
      <c r="F163" s="113">
        <f>F162/F161</f>
        <v>0.99056857989760172</v>
      </c>
      <c r="G163" s="348">
        <f>G162/G161</f>
        <v>0.97457271678724966</v>
      </c>
      <c r="H163" s="233">
        <f>H162/H161</f>
        <v>0.97738902772819236</v>
      </c>
      <c r="I163" s="233">
        <v>0.97670000000000001</v>
      </c>
      <c r="J163" s="233">
        <f>J162/J161</f>
        <v>0.96031643941342937</v>
      </c>
      <c r="K163" s="233">
        <f>K162/K161</f>
        <v>0.95837010885554574</v>
      </c>
      <c r="L163" s="233">
        <f>L162/L161</f>
        <v>0.96351045412172065</v>
      </c>
      <c r="M163" s="233">
        <v>0.96079999999999999</v>
      </c>
      <c r="N163" s="233">
        <v>0.95820000000000005</v>
      </c>
      <c r="O163" s="233">
        <f>O162/O161</f>
        <v>0.94472477064220184</v>
      </c>
      <c r="P163" s="233">
        <f>P162/P161</f>
        <v>0.96569987389659517</v>
      </c>
      <c r="Q163" s="277">
        <v>0.9617</v>
      </c>
    </row>
    <row r="164" spans="1:17" x14ac:dyDescent="0.3">
      <c r="A164" s="5"/>
      <c r="B164" s="1124" t="s">
        <v>99</v>
      </c>
      <c r="C164" s="1125"/>
      <c r="D164" s="1125"/>
      <c r="E164" s="1125"/>
      <c r="F164" s="1125"/>
      <c r="G164" s="1125"/>
      <c r="H164" s="1125"/>
      <c r="I164" s="1125"/>
      <c r="J164" s="1125"/>
      <c r="K164" s="1125"/>
      <c r="L164" s="1125"/>
      <c r="M164" s="1125"/>
      <c r="N164" s="1125"/>
      <c r="O164" s="1125"/>
      <c r="P164" s="1125"/>
      <c r="Q164" s="1126"/>
    </row>
    <row r="165" spans="1:17" s="2" customFormat="1" ht="24" customHeight="1" x14ac:dyDescent="0.25">
      <c r="A165" s="6"/>
      <c r="B165" s="72" t="s">
        <v>106</v>
      </c>
      <c r="C165" s="61">
        <v>2331</v>
      </c>
      <c r="D165" s="62">
        <v>2893</v>
      </c>
      <c r="E165" s="161">
        <f>SUM(F165:Q165)</f>
        <v>3277</v>
      </c>
      <c r="F165" s="24">
        <f>SUM(F166:F171)</f>
        <v>230</v>
      </c>
      <c r="G165" s="222">
        <f>SUM(G166:G171)</f>
        <v>296</v>
      </c>
      <c r="H165" s="222">
        <f>SUM(H166:H171)</f>
        <v>103</v>
      </c>
      <c r="I165" s="222">
        <f>SUM(I166:I171)</f>
        <v>140</v>
      </c>
      <c r="J165" s="222">
        <v>132</v>
      </c>
      <c r="K165" s="222">
        <f t="shared" ref="K165:P165" si="13">SUM(K166:K171)</f>
        <v>293</v>
      </c>
      <c r="L165" s="222">
        <f t="shared" si="13"/>
        <v>152</v>
      </c>
      <c r="M165" s="222">
        <f t="shared" si="13"/>
        <v>690</v>
      </c>
      <c r="N165" s="222">
        <f t="shared" si="13"/>
        <v>825</v>
      </c>
      <c r="O165" s="222">
        <f t="shared" si="13"/>
        <v>150</v>
      </c>
      <c r="P165" s="222">
        <f t="shared" si="13"/>
        <v>107</v>
      </c>
      <c r="Q165" s="267">
        <f>SUM(Q166:Q171)</f>
        <v>159</v>
      </c>
    </row>
    <row r="166" spans="1:17" s="2" customFormat="1" ht="36" customHeight="1" x14ac:dyDescent="0.25">
      <c r="A166" s="6"/>
      <c r="B166" s="183" t="s">
        <v>100</v>
      </c>
      <c r="C166" s="51">
        <v>630</v>
      </c>
      <c r="D166" s="52">
        <v>734</v>
      </c>
      <c r="E166" s="162">
        <f t="shared" ref="E166:E171" si="14">SUM(F166:Q166)</f>
        <v>1097</v>
      </c>
      <c r="F166" s="43">
        <v>19</v>
      </c>
      <c r="G166" s="44">
        <v>27</v>
      </c>
      <c r="H166" s="44">
        <v>25</v>
      </c>
      <c r="I166" s="44">
        <v>26</v>
      </c>
      <c r="J166" s="44">
        <v>10</v>
      </c>
      <c r="K166" s="44">
        <v>0</v>
      </c>
      <c r="L166" s="44">
        <v>28</v>
      </c>
      <c r="M166" s="44">
        <v>479</v>
      </c>
      <c r="N166" s="44">
        <v>417</v>
      </c>
      <c r="O166" s="44">
        <v>19</v>
      </c>
      <c r="P166" s="44">
        <v>17</v>
      </c>
      <c r="Q166" s="45">
        <v>30</v>
      </c>
    </row>
    <row r="167" spans="1:17" s="2" customFormat="1" ht="32.1" customHeight="1" x14ac:dyDescent="0.25">
      <c r="A167" s="6"/>
      <c r="B167" s="183" t="s">
        <v>101</v>
      </c>
      <c r="C167" s="51">
        <v>0</v>
      </c>
      <c r="D167" s="52">
        <v>0</v>
      </c>
      <c r="E167" s="162">
        <f t="shared" si="14"/>
        <v>0</v>
      </c>
      <c r="F167" s="43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4">
        <v>0</v>
      </c>
      <c r="Q167" s="45">
        <v>0</v>
      </c>
    </row>
    <row r="168" spans="1:17" s="2" customFormat="1" ht="33.6" customHeight="1" x14ac:dyDescent="0.25">
      <c r="A168" s="6"/>
      <c r="B168" s="183" t="s">
        <v>102</v>
      </c>
      <c r="C168" s="51">
        <v>45</v>
      </c>
      <c r="D168" s="52">
        <v>159</v>
      </c>
      <c r="E168" s="162">
        <f t="shared" si="14"/>
        <v>233</v>
      </c>
      <c r="F168" s="43">
        <v>0</v>
      </c>
      <c r="G168" s="44">
        <v>0</v>
      </c>
      <c r="H168" s="44">
        <v>11</v>
      </c>
      <c r="I168" s="44">
        <v>3</v>
      </c>
      <c r="J168" s="44">
        <v>3</v>
      </c>
      <c r="K168" s="44">
        <v>0</v>
      </c>
      <c r="L168" s="44">
        <v>17</v>
      </c>
      <c r="M168" s="44">
        <v>60</v>
      </c>
      <c r="N168" s="44">
        <v>118</v>
      </c>
      <c r="O168" s="44">
        <v>0</v>
      </c>
      <c r="P168" s="44">
        <v>14</v>
      </c>
      <c r="Q168" s="45">
        <v>7</v>
      </c>
    </row>
    <row r="169" spans="1:17" s="2" customFormat="1" ht="29.45" customHeight="1" x14ac:dyDescent="0.25">
      <c r="A169" s="6"/>
      <c r="B169" s="183" t="s">
        <v>103</v>
      </c>
      <c r="C169" s="51">
        <v>535</v>
      </c>
      <c r="D169" s="52">
        <v>604</v>
      </c>
      <c r="E169" s="162">
        <f t="shared" si="14"/>
        <v>479</v>
      </c>
      <c r="F169" s="43">
        <v>40</v>
      </c>
      <c r="G169" s="44">
        <v>55</v>
      </c>
      <c r="H169" s="44">
        <v>38</v>
      </c>
      <c r="I169" s="44">
        <v>24</v>
      </c>
      <c r="J169" s="44">
        <v>24</v>
      </c>
      <c r="K169" s="44">
        <v>50</v>
      </c>
      <c r="L169" s="44">
        <v>45</v>
      </c>
      <c r="M169" s="44">
        <v>14</v>
      </c>
      <c r="N169" s="44">
        <v>125</v>
      </c>
      <c r="O169" s="44">
        <v>33</v>
      </c>
      <c r="P169" s="44">
        <v>25</v>
      </c>
      <c r="Q169" s="45">
        <v>6</v>
      </c>
    </row>
    <row r="170" spans="1:17" s="2" customFormat="1" ht="24" customHeight="1" x14ac:dyDescent="0.25">
      <c r="A170" s="6"/>
      <c r="B170" s="185" t="s">
        <v>104</v>
      </c>
      <c r="C170" s="51">
        <v>726</v>
      </c>
      <c r="D170" s="52">
        <v>1259</v>
      </c>
      <c r="E170" s="162">
        <f t="shared" si="14"/>
        <v>1203</v>
      </c>
      <c r="F170" s="43">
        <v>142</v>
      </c>
      <c r="G170" s="44">
        <v>153</v>
      </c>
      <c r="H170" s="44">
        <v>29</v>
      </c>
      <c r="I170" s="44">
        <v>87</v>
      </c>
      <c r="J170" s="44">
        <v>95</v>
      </c>
      <c r="K170" s="44">
        <v>239</v>
      </c>
      <c r="L170" s="44">
        <v>62</v>
      </c>
      <c r="M170" s="44">
        <v>122</v>
      </c>
      <c r="N170" s="44">
        <v>136</v>
      </c>
      <c r="O170" s="44">
        <v>35</v>
      </c>
      <c r="P170" s="44">
        <v>51</v>
      </c>
      <c r="Q170" s="45">
        <v>52</v>
      </c>
    </row>
    <row r="171" spans="1:17" s="2" customFormat="1" ht="24" customHeight="1" x14ac:dyDescent="0.25">
      <c r="A171" s="6"/>
      <c r="B171" s="189" t="s">
        <v>105</v>
      </c>
      <c r="C171" s="64">
        <v>395</v>
      </c>
      <c r="D171" s="65">
        <v>137</v>
      </c>
      <c r="E171" s="165">
        <f t="shared" si="14"/>
        <v>265</v>
      </c>
      <c r="F171" s="66">
        <v>29</v>
      </c>
      <c r="G171" s="67">
        <v>61</v>
      </c>
      <c r="H171" s="67">
        <v>0</v>
      </c>
      <c r="I171" s="67">
        <v>0</v>
      </c>
      <c r="J171" s="67">
        <v>0</v>
      </c>
      <c r="K171" s="67">
        <v>4</v>
      </c>
      <c r="L171" s="67">
        <v>0</v>
      </c>
      <c r="M171" s="67">
        <v>15</v>
      </c>
      <c r="N171" s="67">
        <v>29</v>
      </c>
      <c r="O171" s="67">
        <v>63</v>
      </c>
      <c r="P171" s="67">
        <v>0</v>
      </c>
      <c r="Q171" s="68">
        <v>64</v>
      </c>
    </row>
    <row r="172" spans="1:17" x14ac:dyDescent="0.3">
      <c r="A172" s="5"/>
      <c r="B172" s="1098" t="s">
        <v>107</v>
      </c>
      <c r="C172" s="1099"/>
      <c r="D172" s="1099"/>
      <c r="E172" s="1099"/>
      <c r="F172" s="1099"/>
      <c r="G172" s="1099"/>
      <c r="H172" s="1099"/>
      <c r="I172" s="1099"/>
      <c r="J172" s="1099"/>
      <c r="K172" s="1099"/>
      <c r="L172" s="1099"/>
      <c r="M172" s="1099"/>
      <c r="N172" s="1099"/>
      <c r="O172" s="1099"/>
      <c r="P172" s="1099"/>
      <c r="Q172" s="1100"/>
    </row>
    <row r="173" spans="1:17" s="2" customFormat="1" ht="24" customHeight="1" x14ac:dyDescent="0.25">
      <c r="A173" s="6"/>
      <c r="B173" s="72" t="s">
        <v>124</v>
      </c>
      <c r="C173" s="144">
        <v>17365522</v>
      </c>
      <c r="D173" s="145">
        <v>17754100</v>
      </c>
      <c r="E173" s="177">
        <f>SUM(F173:Q173)</f>
        <v>17327377.649999999</v>
      </c>
      <c r="F173" s="421">
        <v>1378117.05</v>
      </c>
      <c r="G173" s="230">
        <v>1439090.18</v>
      </c>
      <c r="H173" s="235">
        <v>1419695.43</v>
      </c>
      <c r="I173" s="235">
        <v>1421441.46</v>
      </c>
      <c r="J173" s="235">
        <v>1394288</v>
      </c>
      <c r="K173" s="235">
        <v>1365624.71</v>
      </c>
      <c r="L173" s="235">
        <v>1385819</v>
      </c>
      <c r="M173" s="235">
        <v>1308105.17</v>
      </c>
      <c r="N173" s="235">
        <v>1694176.65</v>
      </c>
      <c r="O173" s="490">
        <v>1460447</v>
      </c>
      <c r="P173" s="494">
        <v>1580718</v>
      </c>
      <c r="Q173" s="268">
        <v>1479855</v>
      </c>
    </row>
    <row r="174" spans="1:17" x14ac:dyDescent="0.3">
      <c r="A174" s="5"/>
      <c r="B174" s="1143"/>
      <c r="C174" s="1144"/>
      <c r="D174" s="1144"/>
      <c r="E174" s="1144"/>
      <c r="F174" s="1144"/>
      <c r="G174" s="1144"/>
      <c r="H174" s="1144"/>
      <c r="I174" s="1144"/>
      <c r="J174" s="1144"/>
      <c r="K174" s="1144"/>
      <c r="L174" s="1144"/>
      <c r="M174" s="1144"/>
      <c r="N174" s="1144"/>
      <c r="O174" s="1144"/>
      <c r="P174" s="1144"/>
      <c r="Q174" s="1145"/>
    </row>
    <row r="175" spans="1:17" x14ac:dyDescent="0.3">
      <c r="A175" s="5"/>
      <c r="B175" s="1146" t="s">
        <v>108</v>
      </c>
      <c r="C175" s="1147"/>
      <c r="D175" s="1147"/>
      <c r="E175" s="1147"/>
      <c r="F175" s="1147"/>
      <c r="G175" s="1147"/>
      <c r="H175" s="1147"/>
      <c r="I175" s="1147"/>
      <c r="J175" s="1147"/>
      <c r="K175" s="1147"/>
      <c r="L175" s="1147"/>
      <c r="M175" s="1147"/>
      <c r="N175" s="1147"/>
      <c r="O175" s="1147"/>
      <c r="P175" s="1147"/>
      <c r="Q175" s="1148"/>
    </row>
    <row r="176" spans="1:17" s="2" customFormat="1" ht="24" customHeight="1" x14ac:dyDescent="0.25">
      <c r="A176" s="6"/>
      <c r="B176" s="149" t="s">
        <v>109</v>
      </c>
      <c r="C176" s="1149"/>
      <c r="D176" s="1150"/>
      <c r="E176" s="695">
        <f>SUM(F176:Q176)</f>
        <v>1378903</v>
      </c>
      <c r="F176" s="206">
        <v>114100</v>
      </c>
      <c r="G176" s="427">
        <v>114212</v>
      </c>
      <c r="H176" s="427">
        <v>114354</v>
      </c>
      <c r="I176" s="427">
        <v>114660</v>
      </c>
      <c r="J176" s="427">
        <v>114704</v>
      </c>
      <c r="K176" s="427">
        <v>114781</v>
      </c>
      <c r="L176" s="427">
        <v>114992</v>
      </c>
      <c r="M176" s="207">
        <v>115037</v>
      </c>
      <c r="N176" s="207">
        <v>115255</v>
      </c>
      <c r="O176" s="207">
        <v>115389</v>
      </c>
      <c r="P176" s="207">
        <v>115595</v>
      </c>
      <c r="Q176" s="208">
        <v>115824</v>
      </c>
    </row>
    <row r="177" spans="1:19" ht="37.5" x14ac:dyDescent="0.3">
      <c r="A177" s="8"/>
      <c r="B177" s="152" t="s">
        <v>252</v>
      </c>
      <c r="C177" s="1127"/>
      <c r="D177" s="1128"/>
      <c r="E177" s="497"/>
      <c r="F177" s="466">
        <f>F176/R177</f>
        <v>0.36612758310871518</v>
      </c>
      <c r="G177" s="350">
        <f>G176/R177</f>
        <v>0.36648697214734949</v>
      </c>
      <c r="H177" s="350">
        <f>H176/R177</f>
        <v>0.36694262610704659</v>
      </c>
      <c r="I177" s="350">
        <f>I176/R177</f>
        <v>0.36792452830188677</v>
      </c>
      <c r="J177" s="350">
        <f>J176/R177</f>
        <v>0.36806571685277883</v>
      </c>
      <c r="K177" s="350">
        <f>K176/R177</f>
        <v>0.36831279681683993</v>
      </c>
      <c r="L177" s="350">
        <f>L176/R177</f>
        <v>0.36898986009498141</v>
      </c>
      <c r="M177" s="350">
        <f>M176/R177</f>
        <v>0.36913425747657552</v>
      </c>
      <c r="N177" s="469">
        <f>N176/R177</f>
        <v>0.36983378256963162</v>
      </c>
      <c r="O177" s="469">
        <f>O176/R177</f>
        <v>0.37026376588371196</v>
      </c>
      <c r="P177" s="469">
        <f>P176/R177</f>
        <v>0.37092478500834297</v>
      </c>
      <c r="Q177" s="501">
        <f>Q176/R177</f>
        <v>0.37165960723912206</v>
      </c>
      <c r="R177" s="1">
        <v>311640</v>
      </c>
      <c r="S177" s="459">
        <v>42917</v>
      </c>
    </row>
    <row r="179" spans="1:19" ht="24" hidden="1" customHeight="1" x14ac:dyDescent="0.3">
      <c r="B179" s="307" t="s">
        <v>200</v>
      </c>
      <c r="C179" s="308"/>
      <c r="D179" s="308"/>
      <c r="E179" s="308"/>
      <c r="F179" s="308"/>
      <c r="G179" s="308"/>
      <c r="H179" s="308"/>
      <c r="I179" s="308"/>
      <c r="J179" s="308"/>
      <c r="K179" s="308"/>
      <c r="L179" s="308"/>
      <c r="M179" s="308"/>
      <c r="N179" s="308"/>
      <c r="O179" s="308"/>
      <c r="P179" s="308"/>
      <c r="Q179" s="309"/>
    </row>
    <row r="180" spans="1:19" hidden="1" x14ac:dyDescent="0.3">
      <c r="B180" s="297" t="s">
        <v>174</v>
      </c>
      <c r="C180" s="301"/>
      <c r="D180" s="301"/>
      <c r="E180" s="301"/>
      <c r="F180" s="301"/>
      <c r="G180" s="301"/>
      <c r="H180" s="301"/>
      <c r="I180" s="301"/>
      <c r="J180" s="301"/>
      <c r="K180" s="301"/>
      <c r="L180" s="301"/>
      <c r="M180" s="301"/>
      <c r="N180" s="301"/>
      <c r="O180" s="301"/>
      <c r="P180" s="301"/>
      <c r="Q180" s="302"/>
    </row>
    <row r="181" spans="1:19" ht="21" hidden="1" customHeight="1" x14ac:dyDescent="0.3">
      <c r="B181" s="296" t="s">
        <v>181</v>
      </c>
      <c r="C181" s="303"/>
      <c r="D181" s="303"/>
      <c r="E181" s="303"/>
      <c r="F181" s="303"/>
      <c r="G181" s="303"/>
      <c r="H181" s="303"/>
      <c r="I181" s="303"/>
      <c r="J181" s="303"/>
      <c r="K181" s="303"/>
      <c r="L181" s="303"/>
      <c r="M181" s="303"/>
      <c r="N181" s="303"/>
      <c r="O181" s="303"/>
      <c r="P181" s="303"/>
      <c r="Q181" s="304"/>
    </row>
    <row r="182" spans="1:19" ht="21" hidden="1" customHeight="1" x14ac:dyDescent="0.3">
      <c r="B182" s="310" t="s">
        <v>4</v>
      </c>
      <c r="C182" s="313"/>
      <c r="D182" s="409" t="s">
        <v>214</v>
      </c>
      <c r="E182" s="373" t="e">
        <f>AVERAGE(F182:Q182)</f>
        <v>#DIV/0!</v>
      </c>
      <c r="F182" s="24"/>
      <c r="G182" s="25"/>
      <c r="H182" s="25"/>
      <c r="I182" s="25"/>
      <c r="J182" s="25"/>
      <c r="K182" s="25"/>
      <c r="L182" s="25"/>
      <c r="M182" s="362"/>
      <c r="N182" s="362"/>
      <c r="O182" s="362"/>
      <c r="P182" s="362"/>
      <c r="Q182" s="366"/>
    </row>
    <row r="183" spans="1:19" ht="21" hidden="1" customHeight="1" x14ac:dyDescent="0.3">
      <c r="B183" s="311" t="s">
        <v>177</v>
      </c>
      <c r="C183" s="313"/>
      <c r="D183" s="410" t="s">
        <v>215</v>
      </c>
      <c r="E183" s="374" t="e">
        <f>AVERAGE(F183:Q183)</f>
        <v>#DIV/0!</v>
      </c>
      <c r="F183" s="363"/>
      <c r="G183" s="363"/>
      <c r="H183" s="363"/>
      <c r="I183" s="363"/>
      <c r="J183" s="363"/>
      <c r="K183" s="363"/>
      <c r="L183" s="363"/>
      <c r="M183" s="364"/>
      <c r="N183" s="364"/>
      <c r="O183" s="364"/>
      <c r="P183" s="364"/>
      <c r="Q183" s="367"/>
    </row>
    <row r="184" spans="1:19" ht="21" hidden="1" customHeight="1" x14ac:dyDescent="0.3">
      <c r="B184" s="311" t="s">
        <v>180</v>
      </c>
      <c r="C184" s="313"/>
      <c r="D184" s="410" t="s">
        <v>216</v>
      </c>
      <c r="E184" s="374" t="e">
        <f>((ROUND(E182/E183,0)&amp;" : "&amp;"1"))</f>
        <v>#DIV/0!</v>
      </c>
      <c r="F184" s="363" t="e">
        <f>((ROUND(F182/F183,0)&amp;" : "&amp;"1"))</f>
        <v>#DIV/0!</v>
      </c>
      <c r="G184" s="363" t="e">
        <f t="shared" ref="G184:Q184" si="15">((ROUND(G182/G183,0)&amp;" : "&amp;"1"))</f>
        <v>#DIV/0!</v>
      </c>
      <c r="H184" s="363" t="e">
        <f t="shared" si="15"/>
        <v>#DIV/0!</v>
      </c>
      <c r="I184" s="363" t="e">
        <f t="shared" si="15"/>
        <v>#DIV/0!</v>
      </c>
      <c r="J184" s="363" t="e">
        <f t="shared" si="15"/>
        <v>#DIV/0!</v>
      </c>
      <c r="K184" s="363" t="e">
        <f t="shared" si="15"/>
        <v>#DIV/0!</v>
      </c>
      <c r="L184" s="363" t="e">
        <f t="shared" si="15"/>
        <v>#DIV/0!</v>
      </c>
      <c r="M184" s="363" t="e">
        <f t="shared" si="15"/>
        <v>#DIV/0!</v>
      </c>
      <c r="N184" s="363" t="e">
        <f t="shared" si="15"/>
        <v>#DIV/0!</v>
      </c>
      <c r="O184" s="363" t="e">
        <f t="shared" si="15"/>
        <v>#DIV/0!</v>
      </c>
      <c r="P184" s="363" t="e">
        <f t="shared" si="15"/>
        <v>#DIV/0!</v>
      </c>
      <c r="Q184" s="367" t="e">
        <f t="shared" si="15"/>
        <v>#DIV/0!</v>
      </c>
    </row>
    <row r="185" spans="1:19" ht="21" hidden="1" customHeight="1" x14ac:dyDescent="0.3">
      <c r="B185" s="312" t="s">
        <v>179</v>
      </c>
      <c r="C185" s="313"/>
      <c r="D185" s="411" t="s">
        <v>184</v>
      </c>
      <c r="E185" s="369" t="s">
        <v>184</v>
      </c>
      <c r="F185" s="370" t="s">
        <v>184</v>
      </c>
      <c r="G185" s="370" t="s">
        <v>184</v>
      </c>
      <c r="H185" s="370" t="s">
        <v>184</v>
      </c>
      <c r="I185" s="370" t="s">
        <v>184</v>
      </c>
      <c r="J185" s="370" t="s">
        <v>184</v>
      </c>
      <c r="K185" s="370" t="s">
        <v>184</v>
      </c>
      <c r="L185" s="370" t="s">
        <v>184</v>
      </c>
      <c r="M185" s="370" t="s">
        <v>184</v>
      </c>
      <c r="N185" s="370" t="s">
        <v>184</v>
      </c>
      <c r="O185" s="370" t="s">
        <v>184</v>
      </c>
      <c r="P185" s="370" t="s">
        <v>184</v>
      </c>
      <c r="Q185" s="372" t="s">
        <v>184</v>
      </c>
    </row>
    <row r="186" spans="1:19" ht="21" hidden="1" customHeight="1" x14ac:dyDescent="0.3">
      <c r="B186" s="296" t="s">
        <v>191</v>
      </c>
      <c r="C186" s="298"/>
      <c r="D186" s="380"/>
      <c r="E186" s="380"/>
      <c r="F186" s="380"/>
      <c r="G186" s="380"/>
      <c r="H186" s="380"/>
      <c r="I186" s="380"/>
      <c r="J186" s="380"/>
      <c r="K186" s="380"/>
      <c r="L186" s="380"/>
      <c r="M186" s="380"/>
      <c r="N186" s="380"/>
      <c r="O186" s="380"/>
      <c r="P186" s="380"/>
      <c r="Q186" s="381"/>
    </row>
    <row r="187" spans="1:19" ht="21" hidden="1" customHeight="1" x14ac:dyDescent="0.3">
      <c r="B187" s="310" t="s">
        <v>178</v>
      </c>
      <c r="C187" s="313"/>
      <c r="D187" s="409" t="s">
        <v>217</v>
      </c>
      <c r="E187" s="393" t="e">
        <f>AVERAGE(F187:Q187)</f>
        <v>#DIV/0!</v>
      </c>
      <c r="F187" s="389"/>
      <c r="G187" s="389"/>
      <c r="H187" s="391"/>
      <c r="I187" s="391"/>
      <c r="J187" s="391"/>
      <c r="K187" s="391"/>
      <c r="L187" s="391"/>
      <c r="M187" s="391"/>
      <c r="N187" s="391"/>
      <c r="O187" s="362"/>
      <c r="P187" s="362"/>
      <c r="Q187" s="366"/>
    </row>
    <row r="188" spans="1:19" ht="21" hidden="1" customHeight="1" x14ac:dyDescent="0.3">
      <c r="B188" s="311" t="s">
        <v>177</v>
      </c>
      <c r="C188" s="313"/>
      <c r="D188" s="410" t="s">
        <v>218</v>
      </c>
      <c r="E188" s="394" t="e">
        <f>AVERAGE(F188:Q188)</f>
        <v>#DIV/0!</v>
      </c>
      <c r="F188" s="390"/>
      <c r="G188" s="390"/>
      <c r="H188" s="392"/>
      <c r="I188" s="392"/>
      <c r="J188" s="392"/>
      <c r="K188" s="392"/>
      <c r="L188" s="392"/>
      <c r="M188" s="392"/>
      <c r="N188" s="392"/>
      <c r="O188" s="364"/>
      <c r="P188" s="364"/>
      <c r="Q188" s="367"/>
    </row>
    <row r="189" spans="1:19" ht="21" hidden="1" customHeight="1" x14ac:dyDescent="0.3">
      <c r="B189" s="311" t="s">
        <v>180</v>
      </c>
      <c r="C189" s="313"/>
      <c r="D189" s="410" t="s">
        <v>219</v>
      </c>
      <c r="E189" s="394" t="e">
        <f>((ROUND(E187/E188,0)&amp;" : "&amp;"1"))</f>
        <v>#DIV/0!</v>
      </c>
      <c r="F189" s="390" t="s">
        <v>136</v>
      </c>
      <c r="G189" s="390" t="s">
        <v>136</v>
      </c>
      <c r="H189" s="364" t="e">
        <f t="shared" ref="H189:Q189" si="16">((ROUND(H187/H188,0)&amp;" : "&amp;"1"))</f>
        <v>#DIV/0!</v>
      </c>
      <c r="I189" s="364" t="e">
        <f t="shared" si="16"/>
        <v>#DIV/0!</v>
      </c>
      <c r="J189" s="364" t="e">
        <f t="shared" si="16"/>
        <v>#DIV/0!</v>
      </c>
      <c r="K189" s="364" t="e">
        <f t="shared" si="16"/>
        <v>#DIV/0!</v>
      </c>
      <c r="L189" s="364" t="e">
        <f t="shared" si="16"/>
        <v>#DIV/0!</v>
      </c>
      <c r="M189" s="364" t="e">
        <f t="shared" si="16"/>
        <v>#DIV/0!</v>
      </c>
      <c r="N189" s="364" t="e">
        <f t="shared" si="16"/>
        <v>#DIV/0!</v>
      </c>
      <c r="O189" s="364" t="e">
        <f t="shared" si="16"/>
        <v>#DIV/0!</v>
      </c>
      <c r="P189" s="364" t="e">
        <f t="shared" si="16"/>
        <v>#DIV/0!</v>
      </c>
      <c r="Q189" s="367" t="e">
        <f t="shared" si="16"/>
        <v>#DIV/0!</v>
      </c>
    </row>
    <row r="190" spans="1:19" ht="21" hidden="1" customHeight="1" x14ac:dyDescent="0.3">
      <c r="B190" s="312" t="s">
        <v>179</v>
      </c>
      <c r="C190" s="313"/>
      <c r="D190" s="411" t="s">
        <v>185</v>
      </c>
      <c r="E190" s="369" t="s">
        <v>185</v>
      </c>
      <c r="F190" s="370" t="s">
        <v>185</v>
      </c>
      <c r="G190" s="370" t="s">
        <v>185</v>
      </c>
      <c r="H190" s="371" t="s">
        <v>185</v>
      </c>
      <c r="I190" s="371" t="s">
        <v>185</v>
      </c>
      <c r="J190" s="371" t="s">
        <v>185</v>
      </c>
      <c r="K190" s="371" t="s">
        <v>185</v>
      </c>
      <c r="L190" s="371" t="s">
        <v>185</v>
      </c>
      <c r="M190" s="371" t="s">
        <v>185</v>
      </c>
      <c r="N190" s="371" t="s">
        <v>185</v>
      </c>
      <c r="O190" s="371" t="s">
        <v>185</v>
      </c>
      <c r="P190" s="371" t="s">
        <v>185</v>
      </c>
      <c r="Q190" s="372" t="s">
        <v>185</v>
      </c>
    </row>
    <row r="191" spans="1:19" ht="21" hidden="1" customHeight="1" x14ac:dyDescent="0.3">
      <c r="B191" s="296" t="s">
        <v>182</v>
      </c>
      <c r="C191" s="298"/>
      <c r="D191" s="380"/>
      <c r="E191" s="380"/>
      <c r="F191" s="380"/>
      <c r="G191" s="380"/>
      <c r="H191" s="380"/>
      <c r="I191" s="380"/>
      <c r="J191" s="380"/>
      <c r="K191" s="380"/>
      <c r="L191" s="380"/>
      <c r="M191" s="380"/>
      <c r="N191" s="380"/>
      <c r="O191" s="380"/>
      <c r="P191" s="380"/>
      <c r="Q191" s="381"/>
    </row>
    <row r="192" spans="1:19" ht="21" hidden="1" customHeight="1" x14ac:dyDescent="0.3">
      <c r="B192" s="310" t="s">
        <v>178</v>
      </c>
      <c r="C192" s="313"/>
      <c r="D192" s="409" t="s">
        <v>220</v>
      </c>
      <c r="E192" s="373" t="e">
        <f>AVERAGE(F192:Q192)</f>
        <v>#DIV/0!</v>
      </c>
      <c r="F192" s="387"/>
      <c r="G192" s="386"/>
      <c r="H192" s="386"/>
      <c r="I192" s="386"/>
      <c r="J192" s="386"/>
      <c r="K192" s="386"/>
      <c r="L192" s="386"/>
      <c r="M192" s="362"/>
      <c r="N192" s="362"/>
      <c r="O192" s="362"/>
      <c r="P192" s="362"/>
      <c r="Q192" s="366"/>
    </row>
    <row r="193" spans="2:17" ht="21" hidden="1" customHeight="1" x14ac:dyDescent="0.3">
      <c r="B193" s="311" t="s">
        <v>177</v>
      </c>
      <c r="C193" s="313"/>
      <c r="D193" s="410" t="s">
        <v>221</v>
      </c>
      <c r="E193" s="374" t="e">
        <f>AVERAGE(F193:Q193)</f>
        <v>#DIV/0!</v>
      </c>
      <c r="F193" s="385"/>
      <c r="G193" s="384"/>
      <c r="H193" s="364"/>
      <c r="I193" s="384"/>
      <c r="J193" s="384"/>
      <c r="K193" s="384"/>
      <c r="L193" s="384"/>
      <c r="M193" s="364"/>
      <c r="N193" s="364"/>
      <c r="O193" s="364"/>
      <c r="P193" s="364"/>
      <c r="Q193" s="367"/>
    </row>
    <row r="194" spans="2:17" ht="21" hidden="1" customHeight="1" x14ac:dyDescent="0.3">
      <c r="B194" s="311" t="s">
        <v>180</v>
      </c>
      <c r="C194" s="313"/>
      <c r="D194" s="410" t="s">
        <v>222</v>
      </c>
      <c r="E194" s="374" t="e">
        <f>((ROUND(E192/E193,0)&amp;" : "&amp;"1"))</f>
        <v>#DIV/0!</v>
      </c>
      <c r="F194" s="363" t="e">
        <f>((ROUND(F192/F193,0)&amp;" : "&amp;"1"))</f>
        <v>#DIV/0!</v>
      </c>
      <c r="G194" s="363" t="e">
        <f t="shared" ref="G194:M194" si="17">((ROUND(G192/G193,0)&amp;" : "&amp;"1"))</f>
        <v>#DIV/0!</v>
      </c>
      <c r="H194" s="363" t="e">
        <f t="shared" si="17"/>
        <v>#DIV/0!</v>
      </c>
      <c r="I194" s="363" t="e">
        <f t="shared" si="17"/>
        <v>#DIV/0!</v>
      </c>
      <c r="J194" s="363" t="e">
        <f t="shared" si="17"/>
        <v>#DIV/0!</v>
      </c>
      <c r="K194" s="363" t="e">
        <f t="shared" si="17"/>
        <v>#DIV/0!</v>
      </c>
      <c r="L194" s="363" t="e">
        <f t="shared" si="17"/>
        <v>#DIV/0!</v>
      </c>
      <c r="M194" s="363" t="e">
        <f t="shared" si="17"/>
        <v>#DIV/0!</v>
      </c>
      <c r="N194" s="363" t="e">
        <f>((ROUND(N192/N193,0)&amp;" : "&amp;"1"))</f>
        <v>#DIV/0!</v>
      </c>
      <c r="O194" s="363" t="e">
        <f>((ROUND(O192/O193,0)&amp;" : "&amp;"1"))</f>
        <v>#DIV/0!</v>
      </c>
      <c r="P194" s="363" t="e">
        <f>((ROUND(P192/P193,0)&amp;" : "&amp;"1"))</f>
        <v>#DIV/0!</v>
      </c>
      <c r="Q194" s="401" t="e">
        <f>((ROUND(Q192/Q193,0)&amp;" : "&amp;"1"))</f>
        <v>#DIV/0!</v>
      </c>
    </row>
    <row r="195" spans="2:17" ht="21" hidden="1" customHeight="1" x14ac:dyDescent="0.3">
      <c r="B195" s="312" t="s">
        <v>179</v>
      </c>
      <c r="C195" s="313"/>
      <c r="D195" s="411" t="s">
        <v>185</v>
      </c>
      <c r="E195" s="369" t="s">
        <v>185</v>
      </c>
      <c r="F195" s="370" t="s">
        <v>185</v>
      </c>
      <c r="G195" s="370" t="s">
        <v>185</v>
      </c>
      <c r="H195" s="370" t="s">
        <v>185</v>
      </c>
      <c r="I195" s="370" t="s">
        <v>185</v>
      </c>
      <c r="J195" s="370" t="s">
        <v>185</v>
      </c>
      <c r="K195" s="370" t="s">
        <v>185</v>
      </c>
      <c r="L195" s="370" t="s">
        <v>185</v>
      </c>
      <c r="M195" s="370" t="s">
        <v>185</v>
      </c>
      <c r="N195" s="370" t="s">
        <v>185</v>
      </c>
      <c r="O195" s="370" t="s">
        <v>185</v>
      </c>
      <c r="P195" s="370" t="s">
        <v>185</v>
      </c>
      <c r="Q195" s="402" t="s">
        <v>185</v>
      </c>
    </row>
    <row r="196" spans="2:17" hidden="1" x14ac:dyDescent="0.3">
      <c r="B196" s="297" t="s">
        <v>183</v>
      </c>
      <c r="C196" s="305"/>
      <c r="D196" s="382"/>
      <c r="E196" s="382"/>
      <c r="F196" s="382"/>
      <c r="G196" s="382"/>
      <c r="H196" s="382"/>
      <c r="I196" s="382"/>
      <c r="J196" s="382"/>
      <c r="K196" s="382"/>
      <c r="L196" s="382"/>
      <c r="M196" s="382"/>
      <c r="N196" s="382"/>
      <c r="O196" s="382"/>
      <c r="P196" s="382"/>
      <c r="Q196" s="383"/>
    </row>
    <row r="197" spans="2:17" ht="21" hidden="1" customHeight="1" x14ac:dyDescent="0.3">
      <c r="B197" s="296" t="s">
        <v>175</v>
      </c>
      <c r="C197" s="298"/>
      <c r="D197" s="380"/>
      <c r="E197" s="380"/>
      <c r="F197" s="380"/>
      <c r="G197" s="380"/>
      <c r="H197" s="380"/>
      <c r="I197" s="380"/>
      <c r="J197" s="380"/>
      <c r="K197" s="380"/>
      <c r="L197" s="380"/>
      <c r="M197" s="380"/>
      <c r="N197" s="380"/>
      <c r="O197" s="380"/>
      <c r="P197" s="380"/>
      <c r="Q197" s="381"/>
    </row>
    <row r="198" spans="2:17" ht="21" hidden="1" customHeight="1" x14ac:dyDescent="0.3">
      <c r="B198" s="310" t="s">
        <v>178</v>
      </c>
      <c r="C198" s="313"/>
      <c r="D198" s="409" t="s">
        <v>223</v>
      </c>
      <c r="E198" s="373" t="e">
        <f>AVERAGE(F198:Q198)</f>
        <v>#DIV/0!</v>
      </c>
      <c r="F198" s="387"/>
      <c r="G198" s="386"/>
      <c r="H198" s="386"/>
      <c r="I198" s="386"/>
      <c r="J198" s="386"/>
      <c r="K198" s="386"/>
      <c r="L198" s="386"/>
      <c r="M198" s="362"/>
      <c r="N198" s="362"/>
      <c r="O198" s="362"/>
      <c r="P198" s="362"/>
      <c r="Q198" s="366"/>
    </row>
    <row r="199" spans="2:17" ht="21" hidden="1" customHeight="1" x14ac:dyDescent="0.3">
      <c r="B199" s="311" t="s">
        <v>177</v>
      </c>
      <c r="C199" s="313"/>
      <c r="D199" s="410" t="s">
        <v>224</v>
      </c>
      <c r="E199" s="374" t="e">
        <f>AVERAGE(F199:Q199)</f>
        <v>#DIV/0!</v>
      </c>
      <c r="F199" s="363"/>
      <c r="G199" s="364"/>
      <c r="H199" s="364"/>
      <c r="I199" s="364"/>
      <c r="J199" s="364"/>
      <c r="K199" s="364"/>
      <c r="L199" s="364"/>
      <c r="M199" s="364"/>
      <c r="N199" s="364"/>
      <c r="O199" s="364"/>
      <c r="P199" s="364"/>
      <c r="Q199" s="367"/>
    </row>
    <row r="200" spans="2:17" ht="21" hidden="1" customHeight="1" x14ac:dyDescent="0.3">
      <c r="B200" s="311" t="s">
        <v>180</v>
      </c>
      <c r="C200" s="313"/>
      <c r="D200" s="410" t="s">
        <v>225</v>
      </c>
      <c r="E200" s="374" t="e">
        <f>((ROUND(E198/E199,0)&amp;" : "&amp;"1"))</f>
        <v>#DIV/0!</v>
      </c>
      <c r="F200" s="363" t="e">
        <f>((ROUND(F198/F199,0)&amp;" : "&amp;"1"))</f>
        <v>#DIV/0!</v>
      </c>
      <c r="G200" s="363" t="e">
        <f t="shared" ref="G200:Q200" si="18">((ROUND(G198/G199,0)&amp;" : "&amp;"1"))</f>
        <v>#DIV/0!</v>
      </c>
      <c r="H200" s="363" t="e">
        <f t="shared" si="18"/>
        <v>#DIV/0!</v>
      </c>
      <c r="I200" s="363" t="e">
        <f t="shared" si="18"/>
        <v>#DIV/0!</v>
      </c>
      <c r="J200" s="363" t="e">
        <f t="shared" si="18"/>
        <v>#DIV/0!</v>
      </c>
      <c r="K200" s="363" t="e">
        <f t="shared" si="18"/>
        <v>#DIV/0!</v>
      </c>
      <c r="L200" s="363" t="e">
        <f t="shared" si="18"/>
        <v>#DIV/0!</v>
      </c>
      <c r="M200" s="363" t="e">
        <f t="shared" si="18"/>
        <v>#DIV/0!</v>
      </c>
      <c r="N200" s="363" t="e">
        <f t="shared" si="18"/>
        <v>#DIV/0!</v>
      </c>
      <c r="O200" s="363" t="e">
        <f t="shared" si="18"/>
        <v>#DIV/0!</v>
      </c>
      <c r="P200" s="363" t="e">
        <f t="shared" si="18"/>
        <v>#DIV/0!</v>
      </c>
      <c r="Q200" s="401" t="e">
        <f t="shared" si="18"/>
        <v>#DIV/0!</v>
      </c>
    </row>
    <row r="201" spans="2:17" ht="21" hidden="1" customHeight="1" x14ac:dyDescent="0.3">
      <c r="B201" s="312" t="s">
        <v>179</v>
      </c>
      <c r="C201" s="313"/>
      <c r="D201" s="411" t="s">
        <v>186</v>
      </c>
      <c r="E201" s="369" t="s">
        <v>186</v>
      </c>
      <c r="F201" s="370" t="s">
        <v>186</v>
      </c>
      <c r="G201" s="370" t="s">
        <v>186</v>
      </c>
      <c r="H201" s="370" t="s">
        <v>186</v>
      </c>
      <c r="I201" s="370" t="s">
        <v>186</v>
      </c>
      <c r="J201" s="370" t="s">
        <v>186</v>
      </c>
      <c r="K201" s="370" t="s">
        <v>186</v>
      </c>
      <c r="L201" s="370" t="s">
        <v>186</v>
      </c>
      <c r="M201" s="370" t="s">
        <v>186</v>
      </c>
      <c r="N201" s="370" t="s">
        <v>186</v>
      </c>
      <c r="O201" s="370" t="s">
        <v>186</v>
      </c>
      <c r="P201" s="370" t="s">
        <v>186</v>
      </c>
      <c r="Q201" s="402" t="s">
        <v>186</v>
      </c>
    </row>
    <row r="202" spans="2:17" ht="21" hidden="1" customHeight="1" x14ac:dyDescent="0.3">
      <c r="B202" s="296" t="s">
        <v>176</v>
      </c>
      <c r="C202" s="298"/>
      <c r="D202" s="380"/>
      <c r="E202" s="380"/>
      <c r="F202" s="380"/>
      <c r="G202" s="380"/>
      <c r="H202" s="380"/>
      <c r="I202" s="380"/>
      <c r="J202" s="380"/>
      <c r="K202" s="380"/>
      <c r="L202" s="380"/>
      <c r="M202" s="380"/>
      <c r="N202" s="380"/>
      <c r="O202" s="380"/>
      <c r="P202" s="380"/>
      <c r="Q202" s="381"/>
    </row>
    <row r="203" spans="2:17" ht="21" hidden="1" customHeight="1" x14ac:dyDescent="0.3">
      <c r="B203" s="310" t="s">
        <v>178</v>
      </c>
      <c r="C203" s="313"/>
      <c r="D203" s="409" t="s">
        <v>226</v>
      </c>
      <c r="E203" s="373" t="e">
        <f>AVERAGE(F203:Q203)</f>
        <v>#DIV/0!</v>
      </c>
      <c r="F203" s="361"/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66"/>
    </row>
    <row r="204" spans="2:17" ht="21" hidden="1" customHeight="1" x14ac:dyDescent="0.3">
      <c r="B204" s="311" t="s">
        <v>177</v>
      </c>
      <c r="C204" s="313"/>
      <c r="D204" s="410" t="s">
        <v>227</v>
      </c>
      <c r="E204" s="374" t="e">
        <f>AVERAGE(F204:Q204)</f>
        <v>#DIV/0!</v>
      </c>
      <c r="F204" s="363"/>
      <c r="G204" s="364"/>
      <c r="H204" s="364"/>
      <c r="I204" s="364"/>
      <c r="J204" s="364"/>
      <c r="K204" s="364"/>
      <c r="L204" s="364"/>
      <c r="M204" s="364"/>
      <c r="N204" s="364"/>
      <c r="O204" s="364"/>
      <c r="P204" s="364"/>
      <c r="Q204" s="367"/>
    </row>
    <row r="205" spans="2:17" ht="21" hidden="1" customHeight="1" x14ac:dyDescent="0.3">
      <c r="B205" s="311" t="s">
        <v>180</v>
      </c>
      <c r="C205" s="313"/>
      <c r="D205" s="410" t="s">
        <v>222</v>
      </c>
      <c r="E205" s="374" t="e">
        <f>((ROUND(E203/E204,0)&amp;" : "&amp;"1"))</f>
        <v>#DIV/0!</v>
      </c>
      <c r="F205" s="363" t="e">
        <f>((ROUND(F203/F204,0)&amp;" : "&amp;"1"))</f>
        <v>#DIV/0!</v>
      </c>
      <c r="G205" s="363" t="e">
        <f t="shared" ref="G205:Q205" si="19">((ROUND(G203/G204,0)&amp;" : "&amp;"1"))</f>
        <v>#DIV/0!</v>
      </c>
      <c r="H205" s="363" t="e">
        <f t="shared" si="19"/>
        <v>#DIV/0!</v>
      </c>
      <c r="I205" s="363" t="e">
        <f t="shared" si="19"/>
        <v>#DIV/0!</v>
      </c>
      <c r="J205" s="363" t="e">
        <f t="shared" si="19"/>
        <v>#DIV/0!</v>
      </c>
      <c r="K205" s="363" t="e">
        <f t="shared" si="19"/>
        <v>#DIV/0!</v>
      </c>
      <c r="L205" s="363" t="e">
        <f t="shared" si="19"/>
        <v>#DIV/0!</v>
      </c>
      <c r="M205" s="363" t="e">
        <f t="shared" si="19"/>
        <v>#DIV/0!</v>
      </c>
      <c r="N205" s="363" t="e">
        <f t="shared" si="19"/>
        <v>#DIV/0!</v>
      </c>
      <c r="O205" s="363" t="e">
        <f t="shared" si="19"/>
        <v>#DIV/0!</v>
      </c>
      <c r="P205" s="363" t="e">
        <f t="shared" si="19"/>
        <v>#DIV/0!</v>
      </c>
      <c r="Q205" s="401" t="e">
        <f t="shared" si="19"/>
        <v>#DIV/0!</v>
      </c>
    </row>
    <row r="206" spans="2:17" ht="21" hidden="1" customHeight="1" x14ac:dyDescent="0.3">
      <c r="B206" s="316" t="s">
        <v>179</v>
      </c>
      <c r="C206" s="317"/>
      <c r="D206" s="412" t="s">
        <v>186</v>
      </c>
      <c r="E206" s="376" t="s">
        <v>186</v>
      </c>
      <c r="F206" s="377" t="s">
        <v>186</v>
      </c>
      <c r="G206" s="377" t="s">
        <v>186</v>
      </c>
      <c r="H206" s="377" t="s">
        <v>186</v>
      </c>
      <c r="I206" s="377" t="s">
        <v>186</v>
      </c>
      <c r="J206" s="377" t="s">
        <v>186</v>
      </c>
      <c r="K206" s="377" t="s">
        <v>186</v>
      </c>
      <c r="L206" s="377" t="s">
        <v>186</v>
      </c>
      <c r="M206" s="377" t="s">
        <v>186</v>
      </c>
      <c r="N206" s="377" t="s">
        <v>186</v>
      </c>
      <c r="O206" s="377" t="s">
        <v>186</v>
      </c>
      <c r="P206" s="377" t="s">
        <v>186</v>
      </c>
      <c r="Q206" s="403" t="s">
        <v>186</v>
      </c>
    </row>
    <row r="207" spans="2:17" hidden="1" x14ac:dyDescent="0.3">
      <c r="B207" s="297" t="s">
        <v>43</v>
      </c>
      <c r="C207" s="305"/>
      <c r="D207" s="382"/>
      <c r="E207" s="305"/>
      <c r="F207" s="305"/>
      <c r="G207" s="305"/>
      <c r="H207" s="305"/>
      <c r="I207" s="305"/>
      <c r="J207" s="305"/>
      <c r="K207" s="305"/>
      <c r="L207" s="305"/>
      <c r="M207" s="305"/>
      <c r="N207" s="305"/>
      <c r="O207" s="305"/>
      <c r="P207" s="305"/>
      <c r="Q207" s="306"/>
    </row>
    <row r="208" spans="2:17" ht="21" hidden="1" customHeight="1" x14ac:dyDescent="0.3">
      <c r="B208" s="296" t="s">
        <v>44</v>
      </c>
      <c r="C208" s="298"/>
      <c r="D208" s="380"/>
      <c r="E208" s="298"/>
      <c r="F208" s="298"/>
      <c r="G208" s="298"/>
      <c r="H208" s="298"/>
      <c r="I208" s="298"/>
      <c r="J208" s="298"/>
      <c r="K208" s="298"/>
      <c r="L208" s="298"/>
      <c r="M208" s="298"/>
      <c r="N208" s="298"/>
      <c r="O208" s="298"/>
      <c r="P208" s="298"/>
      <c r="Q208" s="300"/>
    </row>
    <row r="209" spans="2:17" ht="21" hidden="1" customHeight="1" x14ac:dyDescent="0.3">
      <c r="B209" s="310" t="s">
        <v>178</v>
      </c>
      <c r="C209" s="313"/>
      <c r="D209" s="409" t="s">
        <v>228</v>
      </c>
      <c r="E209" s="373" t="e">
        <f>AVERAGE(F209:Q209)</f>
        <v>#DIV/0!</v>
      </c>
      <c r="F209" s="361"/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66"/>
    </row>
    <row r="210" spans="2:17" ht="21" hidden="1" customHeight="1" x14ac:dyDescent="0.3">
      <c r="B210" s="311" t="s">
        <v>177</v>
      </c>
      <c r="C210" s="313"/>
      <c r="D210" s="410" t="s">
        <v>210</v>
      </c>
      <c r="E210" s="374" t="e">
        <f>AVERAGE(F210:Q210)</f>
        <v>#DIV/0!</v>
      </c>
      <c r="F210" s="363"/>
      <c r="G210" s="364"/>
      <c r="H210" s="364"/>
      <c r="I210" s="364"/>
      <c r="J210" s="364"/>
      <c r="K210" s="364"/>
      <c r="L210" s="364"/>
      <c r="M210" s="364"/>
      <c r="N210" s="364"/>
      <c r="O210" s="364"/>
      <c r="P210" s="364"/>
      <c r="Q210" s="367"/>
    </row>
    <row r="211" spans="2:17" ht="21" hidden="1" customHeight="1" x14ac:dyDescent="0.3">
      <c r="B211" s="311" t="s">
        <v>180</v>
      </c>
      <c r="C211" s="313"/>
      <c r="D211" s="410" t="s">
        <v>229</v>
      </c>
      <c r="E211" s="374" t="e">
        <f>((ROUND(E209/E210,0)&amp;" : "&amp;"1"))</f>
        <v>#DIV/0!</v>
      </c>
      <c r="F211" s="363" t="e">
        <f>((ROUND(F209/F210,0)&amp;" : "&amp;"1"))</f>
        <v>#DIV/0!</v>
      </c>
      <c r="G211" s="363" t="e">
        <f t="shared" ref="G211:Q211" si="20">((ROUND(G209/G210,0)&amp;" : "&amp;"1"))</f>
        <v>#DIV/0!</v>
      </c>
      <c r="H211" s="363" t="e">
        <f t="shared" si="20"/>
        <v>#DIV/0!</v>
      </c>
      <c r="I211" s="363" t="e">
        <f t="shared" si="20"/>
        <v>#DIV/0!</v>
      </c>
      <c r="J211" s="363" t="e">
        <f t="shared" si="20"/>
        <v>#DIV/0!</v>
      </c>
      <c r="K211" s="363" t="e">
        <f t="shared" si="20"/>
        <v>#DIV/0!</v>
      </c>
      <c r="L211" s="363" t="e">
        <f t="shared" si="20"/>
        <v>#DIV/0!</v>
      </c>
      <c r="M211" s="363" t="e">
        <f t="shared" si="20"/>
        <v>#DIV/0!</v>
      </c>
      <c r="N211" s="363" t="e">
        <f t="shared" si="20"/>
        <v>#DIV/0!</v>
      </c>
      <c r="O211" s="363" t="e">
        <f t="shared" si="20"/>
        <v>#DIV/0!</v>
      </c>
      <c r="P211" s="363" t="e">
        <f t="shared" si="20"/>
        <v>#DIV/0!</v>
      </c>
      <c r="Q211" s="367" t="e">
        <f t="shared" si="20"/>
        <v>#DIV/0!</v>
      </c>
    </row>
    <row r="212" spans="2:17" ht="21" hidden="1" customHeight="1" x14ac:dyDescent="0.3">
      <c r="B212" s="312" t="s">
        <v>179</v>
      </c>
      <c r="C212" s="313"/>
      <c r="D212" s="411" t="s">
        <v>187</v>
      </c>
      <c r="E212" s="375" t="s">
        <v>187</v>
      </c>
      <c r="F212" s="365" t="s">
        <v>187</v>
      </c>
      <c r="G212" s="365" t="s">
        <v>187</v>
      </c>
      <c r="H212" s="365" t="s">
        <v>187</v>
      </c>
      <c r="I212" s="365" t="s">
        <v>187</v>
      </c>
      <c r="J212" s="365" t="s">
        <v>187</v>
      </c>
      <c r="K212" s="365" t="s">
        <v>187</v>
      </c>
      <c r="L212" s="365" t="s">
        <v>187</v>
      </c>
      <c r="M212" s="365" t="s">
        <v>187</v>
      </c>
      <c r="N212" s="365" t="s">
        <v>187</v>
      </c>
      <c r="O212" s="365" t="s">
        <v>187</v>
      </c>
      <c r="P212" s="365" t="s">
        <v>187</v>
      </c>
      <c r="Q212" s="368" t="s">
        <v>187</v>
      </c>
    </row>
    <row r="213" spans="2:17" ht="21" hidden="1" customHeight="1" x14ac:dyDescent="0.3">
      <c r="B213" s="296" t="s">
        <v>114</v>
      </c>
      <c r="C213" s="298"/>
      <c r="D213" s="380"/>
      <c r="E213" s="298"/>
      <c r="F213" s="298"/>
      <c r="G213" s="298"/>
      <c r="H213" s="298"/>
      <c r="I213" s="298"/>
      <c r="J213" s="298"/>
      <c r="K213" s="298"/>
      <c r="L213" s="298"/>
      <c r="M213" s="298"/>
      <c r="N213" s="298"/>
      <c r="O213" s="298"/>
      <c r="P213" s="298"/>
      <c r="Q213" s="300"/>
    </row>
    <row r="214" spans="2:17" ht="21" hidden="1" customHeight="1" x14ac:dyDescent="0.3">
      <c r="B214" s="310" t="s">
        <v>178</v>
      </c>
      <c r="C214" s="313"/>
      <c r="D214" s="409" t="s">
        <v>230</v>
      </c>
      <c r="E214" s="373" t="e">
        <f>AVERAGE(F214:Q214)</f>
        <v>#DIV/0!</v>
      </c>
      <c r="F214" s="361"/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66"/>
    </row>
    <row r="215" spans="2:17" ht="21" hidden="1" customHeight="1" x14ac:dyDescent="0.3">
      <c r="B215" s="311" t="s">
        <v>177</v>
      </c>
      <c r="C215" s="313"/>
      <c r="D215" s="410" t="s">
        <v>231</v>
      </c>
      <c r="E215" s="374" t="e">
        <f>AVERAGE(F215:Q215)</f>
        <v>#DIV/0!</v>
      </c>
      <c r="F215" s="363"/>
      <c r="G215" s="364"/>
      <c r="H215" s="364"/>
      <c r="I215" s="364"/>
      <c r="J215" s="364"/>
      <c r="K215" s="364"/>
      <c r="L215" s="364"/>
      <c r="M215" s="364"/>
      <c r="N215" s="364"/>
      <c r="O215" s="364"/>
      <c r="P215" s="364"/>
      <c r="Q215" s="367"/>
    </row>
    <row r="216" spans="2:17" ht="21" hidden="1" customHeight="1" x14ac:dyDescent="0.3">
      <c r="B216" s="311" t="s">
        <v>180</v>
      </c>
      <c r="C216" s="313"/>
      <c r="D216" s="410" t="s">
        <v>187</v>
      </c>
      <c r="E216" s="374" t="e">
        <f>((ROUND(E214/E215,0)&amp;" : "&amp;"1"))</f>
        <v>#DIV/0!</v>
      </c>
      <c r="F216" s="363" t="e">
        <f>((ROUND(F214/F215,0)&amp;" : "&amp;"1"))</f>
        <v>#DIV/0!</v>
      </c>
      <c r="G216" s="363" t="e">
        <f t="shared" ref="G216:Q216" si="21">((ROUND(G214/G215,0)&amp;" : "&amp;"1"))</f>
        <v>#DIV/0!</v>
      </c>
      <c r="H216" s="363" t="e">
        <f t="shared" si="21"/>
        <v>#DIV/0!</v>
      </c>
      <c r="I216" s="363" t="e">
        <f t="shared" si="21"/>
        <v>#DIV/0!</v>
      </c>
      <c r="J216" s="363" t="e">
        <f t="shared" si="21"/>
        <v>#DIV/0!</v>
      </c>
      <c r="K216" s="363" t="e">
        <f t="shared" si="21"/>
        <v>#DIV/0!</v>
      </c>
      <c r="L216" s="363" t="e">
        <f t="shared" si="21"/>
        <v>#DIV/0!</v>
      </c>
      <c r="M216" s="363" t="e">
        <f t="shared" si="21"/>
        <v>#DIV/0!</v>
      </c>
      <c r="N216" s="363" t="e">
        <f t="shared" si="21"/>
        <v>#DIV/0!</v>
      </c>
      <c r="O216" s="363" t="e">
        <f t="shared" si="21"/>
        <v>#DIV/0!</v>
      </c>
      <c r="P216" s="363" t="e">
        <f t="shared" si="21"/>
        <v>#DIV/0!</v>
      </c>
      <c r="Q216" s="367" t="e">
        <f t="shared" si="21"/>
        <v>#DIV/0!</v>
      </c>
    </row>
    <row r="217" spans="2:17" ht="21" hidden="1" customHeight="1" x14ac:dyDescent="0.3">
      <c r="B217" s="312" t="s">
        <v>179</v>
      </c>
      <c r="C217" s="313"/>
      <c r="D217" s="411" t="s">
        <v>188</v>
      </c>
      <c r="E217" s="375" t="s">
        <v>188</v>
      </c>
      <c r="F217" s="365" t="s">
        <v>188</v>
      </c>
      <c r="G217" s="365" t="s">
        <v>188</v>
      </c>
      <c r="H217" s="365" t="s">
        <v>188</v>
      </c>
      <c r="I217" s="365" t="s">
        <v>188</v>
      </c>
      <c r="J217" s="365" t="s">
        <v>188</v>
      </c>
      <c r="K217" s="365" t="s">
        <v>188</v>
      </c>
      <c r="L217" s="365" t="s">
        <v>188</v>
      </c>
      <c r="M217" s="365" t="s">
        <v>188</v>
      </c>
      <c r="N217" s="365" t="s">
        <v>188</v>
      </c>
      <c r="O217" s="365" t="s">
        <v>188</v>
      </c>
      <c r="P217" s="365" t="s">
        <v>188</v>
      </c>
      <c r="Q217" s="368" t="s">
        <v>188</v>
      </c>
    </row>
    <row r="218" spans="2:17" ht="21" hidden="1" customHeight="1" x14ac:dyDescent="0.3">
      <c r="B218" s="296" t="s">
        <v>203</v>
      </c>
      <c r="C218" s="298"/>
      <c r="D218" s="380"/>
      <c r="E218" s="298"/>
      <c r="F218" s="298"/>
      <c r="G218" s="298"/>
      <c r="H218" s="298"/>
      <c r="I218" s="298"/>
      <c r="J218" s="298"/>
      <c r="K218" s="298"/>
      <c r="L218" s="298"/>
      <c r="M218" s="298"/>
      <c r="N218" s="298"/>
      <c r="O218" s="298"/>
      <c r="P218" s="298"/>
      <c r="Q218" s="300"/>
    </row>
    <row r="219" spans="2:17" ht="21" hidden="1" customHeight="1" x14ac:dyDescent="0.3">
      <c r="B219" s="310" t="s">
        <v>178</v>
      </c>
      <c r="C219" s="315"/>
      <c r="D219" s="409" t="s">
        <v>232</v>
      </c>
      <c r="E219" s="373" t="e">
        <f>AVERAGE(F219:Q219)</f>
        <v>#DIV/0!</v>
      </c>
      <c r="F219" s="361"/>
      <c r="G219" s="362"/>
      <c r="H219" s="362"/>
      <c r="I219" s="362"/>
      <c r="J219" s="388"/>
      <c r="K219" s="362"/>
      <c r="L219" s="362"/>
      <c r="M219" s="362"/>
      <c r="N219" s="362"/>
      <c r="O219" s="362"/>
      <c r="P219" s="362"/>
      <c r="Q219" s="366"/>
    </row>
    <row r="220" spans="2:17" ht="21" hidden="1" customHeight="1" x14ac:dyDescent="0.3">
      <c r="B220" s="311" t="s">
        <v>177</v>
      </c>
      <c r="C220" s="313"/>
      <c r="D220" s="410" t="s">
        <v>218</v>
      </c>
      <c r="E220" s="374" t="e">
        <f>AVERAGE(F220:Q220)</f>
        <v>#DIV/0!</v>
      </c>
      <c r="F220" s="363"/>
      <c r="G220" s="364"/>
      <c r="H220" s="364"/>
      <c r="I220" s="364"/>
      <c r="J220" s="388"/>
      <c r="K220" s="364"/>
      <c r="L220" s="364"/>
      <c r="M220" s="364"/>
      <c r="N220" s="364"/>
      <c r="O220" s="364"/>
      <c r="P220" s="364"/>
      <c r="Q220" s="367"/>
    </row>
    <row r="221" spans="2:17" ht="21" hidden="1" customHeight="1" x14ac:dyDescent="0.3">
      <c r="B221" s="311" t="s">
        <v>180</v>
      </c>
      <c r="C221" s="313"/>
      <c r="D221" s="410" t="s">
        <v>233</v>
      </c>
      <c r="E221" s="374" t="e">
        <f>((ROUND(E219/E220,0)&amp;" : "&amp;"1"))</f>
        <v>#DIV/0!</v>
      </c>
      <c r="F221" s="363" t="e">
        <f>((ROUND(F219/F220,0)&amp;" : "&amp;"1"))</f>
        <v>#DIV/0!</v>
      </c>
      <c r="G221" s="363" t="e">
        <f t="shared" ref="G221:Q221" si="22">((ROUND(G219/G220,0)&amp;" : "&amp;"1"))</f>
        <v>#DIV/0!</v>
      </c>
      <c r="H221" s="363" t="e">
        <f t="shared" si="22"/>
        <v>#DIV/0!</v>
      </c>
      <c r="I221" s="363" t="e">
        <f t="shared" si="22"/>
        <v>#DIV/0!</v>
      </c>
      <c r="J221" s="363" t="e">
        <f t="shared" si="22"/>
        <v>#DIV/0!</v>
      </c>
      <c r="K221" s="363" t="e">
        <f t="shared" si="22"/>
        <v>#DIV/0!</v>
      </c>
      <c r="L221" s="363" t="e">
        <f t="shared" si="22"/>
        <v>#DIV/0!</v>
      </c>
      <c r="M221" s="363" t="e">
        <f t="shared" si="22"/>
        <v>#DIV/0!</v>
      </c>
      <c r="N221" s="363" t="e">
        <f t="shared" si="22"/>
        <v>#DIV/0!</v>
      </c>
      <c r="O221" s="363" t="e">
        <f t="shared" si="22"/>
        <v>#DIV/0!</v>
      </c>
      <c r="P221" s="363" t="e">
        <f t="shared" si="22"/>
        <v>#DIV/0!</v>
      </c>
      <c r="Q221" s="401" t="e">
        <f t="shared" si="22"/>
        <v>#DIV/0!</v>
      </c>
    </row>
    <row r="222" spans="2:17" ht="21" hidden="1" customHeight="1" x14ac:dyDescent="0.3">
      <c r="B222" s="312" t="s">
        <v>179</v>
      </c>
      <c r="C222" s="313"/>
      <c r="D222" s="411" t="s">
        <v>189</v>
      </c>
      <c r="E222" s="375" t="s">
        <v>189</v>
      </c>
      <c r="F222" s="365" t="s">
        <v>189</v>
      </c>
      <c r="G222" s="365" t="s">
        <v>189</v>
      </c>
      <c r="H222" s="365" t="s">
        <v>189</v>
      </c>
      <c r="I222" s="365" t="s">
        <v>189</v>
      </c>
      <c r="J222" s="365" t="s">
        <v>189</v>
      </c>
      <c r="K222" s="365" t="s">
        <v>189</v>
      </c>
      <c r="L222" s="365" t="s">
        <v>189</v>
      </c>
      <c r="M222" s="365" t="s">
        <v>189</v>
      </c>
      <c r="N222" s="365" t="s">
        <v>189</v>
      </c>
      <c r="O222" s="365" t="s">
        <v>189</v>
      </c>
      <c r="P222" s="365" t="s">
        <v>189</v>
      </c>
      <c r="Q222" s="404" t="s">
        <v>189</v>
      </c>
    </row>
    <row r="223" spans="2:17" ht="21" hidden="1" customHeight="1" x14ac:dyDescent="0.3">
      <c r="B223" s="296" t="s">
        <v>201</v>
      </c>
      <c r="C223" s="298"/>
      <c r="D223" s="380"/>
      <c r="E223" s="299"/>
      <c r="F223" s="298"/>
      <c r="G223" s="298"/>
      <c r="H223" s="298"/>
      <c r="I223" s="1142"/>
      <c r="J223" s="1142"/>
      <c r="K223" s="298"/>
      <c r="L223" s="298"/>
      <c r="M223" s="298"/>
      <c r="N223" s="298"/>
      <c r="O223" s="298"/>
      <c r="P223" s="298"/>
      <c r="Q223" s="300"/>
    </row>
    <row r="224" spans="2:17" ht="21" hidden="1" customHeight="1" x14ac:dyDescent="0.3">
      <c r="B224" s="310" t="s">
        <v>178</v>
      </c>
      <c r="C224" s="313"/>
      <c r="D224" s="409" t="s">
        <v>234</v>
      </c>
      <c r="E224" s="373" t="e">
        <f>AVERAGE(F224:L224)</f>
        <v>#DIV/0!</v>
      </c>
      <c r="F224" s="361"/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6"/>
    </row>
    <row r="225" spans="2:17" ht="21" hidden="1" customHeight="1" x14ac:dyDescent="0.3">
      <c r="B225" s="311" t="s">
        <v>177</v>
      </c>
      <c r="C225" s="313"/>
      <c r="D225" s="410" t="s">
        <v>235</v>
      </c>
      <c r="E225" s="374" t="e">
        <f>AVERAGE(F225:Q225)</f>
        <v>#DIV/0!</v>
      </c>
      <c r="F225" s="363"/>
      <c r="G225" s="364"/>
      <c r="H225" s="364"/>
      <c r="I225" s="364"/>
      <c r="J225" s="364"/>
      <c r="K225" s="364"/>
      <c r="L225" s="364"/>
      <c r="M225" s="364"/>
      <c r="N225" s="364"/>
      <c r="O225" s="364"/>
      <c r="P225" s="364"/>
      <c r="Q225" s="367"/>
    </row>
    <row r="226" spans="2:17" ht="21" hidden="1" customHeight="1" x14ac:dyDescent="0.3">
      <c r="B226" s="311" t="s">
        <v>180</v>
      </c>
      <c r="C226" s="313"/>
      <c r="D226" s="410" t="s">
        <v>236</v>
      </c>
      <c r="E226" s="374" t="e">
        <f>((ROUND(E224/E225,0)&amp;" : "&amp;"1"))</f>
        <v>#DIV/0!</v>
      </c>
      <c r="F226" s="363" t="e">
        <f>((ROUND(F224/F225,0)&amp;" : "&amp;"1"))</f>
        <v>#DIV/0!</v>
      </c>
      <c r="G226" s="363" t="e">
        <f t="shared" ref="G226:Q226" si="23">((ROUND(G224/G225,0)&amp;" : "&amp;"1"))</f>
        <v>#DIV/0!</v>
      </c>
      <c r="H226" s="363" t="e">
        <f t="shared" si="23"/>
        <v>#DIV/0!</v>
      </c>
      <c r="I226" s="363" t="e">
        <f t="shared" si="23"/>
        <v>#DIV/0!</v>
      </c>
      <c r="J226" s="363" t="e">
        <f t="shared" si="23"/>
        <v>#DIV/0!</v>
      </c>
      <c r="K226" s="363" t="e">
        <f t="shared" si="23"/>
        <v>#DIV/0!</v>
      </c>
      <c r="L226" s="363" t="e">
        <f t="shared" si="23"/>
        <v>#DIV/0!</v>
      </c>
      <c r="M226" s="363" t="e">
        <f t="shared" si="23"/>
        <v>#DIV/0!</v>
      </c>
      <c r="N226" s="363" t="e">
        <f t="shared" si="23"/>
        <v>#DIV/0!</v>
      </c>
      <c r="O226" s="363" t="e">
        <f t="shared" si="23"/>
        <v>#DIV/0!</v>
      </c>
      <c r="P226" s="363" t="e">
        <f t="shared" si="23"/>
        <v>#DIV/0!</v>
      </c>
      <c r="Q226" s="401" t="e">
        <f t="shared" si="23"/>
        <v>#DIV/0!</v>
      </c>
    </row>
    <row r="227" spans="2:17" ht="21" hidden="1" customHeight="1" x14ac:dyDescent="0.3">
      <c r="B227" s="312" t="s">
        <v>179</v>
      </c>
      <c r="C227" s="313"/>
      <c r="D227" s="411" t="s">
        <v>211</v>
      </c>
      <c r="E227" s="369" t="s">
        <v>211</v>
      </c>
      <c r="F227" s="370" t="s">
        <v>211</v>
      </c>
      <c r="G227" s="370" t="s">
        <v>211</v>
      </c>
      <c r="H227" s="370" t="s">
        <v>211</v>
      </c>
      <c r="I227" s="370" t="s">
        <v>211</v>
      </c>
      <c r="J227" s="370" t="s">
        <v>211</v>
      </c>
      <c r="K227" s="370" t="s">
        <v>211</v>
      </c>
      <c r="L227" s="370" t="s">
        <v>211</v>
      </c>
      <c r="M227" s="370" t="s">
        <v>211</v>
      </c>
      <c r="N227" s="370" t="s">
        <v>211</v>
      </c>
      <c r="O227" s="370" t="s">
        <v>211</v>
      </c>
      <c r="P227" s="370" t="s">
        <v>211</v>
      </c>
      <c r="Q227" s="402" t="s">
        <v>211</v>
      </c>
    </row>
    <row r="228" spans="2:17" ht="21" hidden="1" customHeight="1" x14ac:dyDescent="0.3">
      <c r="B228" s="296" t="s">
        <v>163</v>
      </c>
      <c r="C228" s="298"/>
      <c r="D228" s="380"/>
      <c r="E228" s="299"/>
      <c r="F228" s="298"/>
      <c r="G228" s="298"/>
      <c r="H228" s="298"/>
      <c r="I228" s="1142"/>
      <c r="J228" s="1142"/>
      <c r="K228" s="298"/>
      <c r="L228" s="298"/>
      <c r="M228" s="298"/>
      <c r="N228" s="298"/>
      <c r="O228" s="298"/>
      <c r="P228" s="298"/>
      <c r="Q228" s="300"/>
    </row>
    <row r="229" spans="2:17" ht="21" hidden="1" customHeight="1" x14ac:dyDescent="0.3">
      <c r="B229" s="310" t="s">
        <v>178</v>
      </c>
      <c r="C229" s="313"/>
      <c r="D229" s="409" t="s">
        <v>237</v>
      </c>
      <c r="E229" s="373" t="e">
        <f>AVERAGE(F229:Q229)</f>
        <v>#DIV/0!</v>
      </c>
      <c r="F229" s="361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6"/>
    </row>
    <row r="230" spans="2:17" ht="21" hidden="1" customHeight="1" x14ac:dyDescent="0.3">
      <c r="B230" s="311" t="s">
        <v>177</v>
      </c>
      <c r="C230" s="313"/>
      <c r="D230" s="410" t="s">
        <v>227</v>
      </c>
      <c r="E230" s="374" t="e">
        <f>AVERAGE(F230:Q230)</f>
        <v>#DIV/0!</v>
      </c>
      <c r="F230" s="363"/>
      <c r="G230" s="364"/>
      <c r="H230" s="364"/>
      <c r="I230" s="364"/>
      <c r="J230" s="364"/>
      <c r="K230" s="364"/>
      <c r="L230" s="364"/>
      <c r="M230" s="364"/>
      <c r="N230" s="364"/>
      <c r="O230" s="364"/>
      <c r="P230" s="364"/>
      <c r="Q230" s="367"/>
    </row>
    <row r="231" spans="2:17" ht="21" hidden="1" customHeight="1" x14ac:dyDescent="0.3">
      <c r="B231" s="311" t="s">
        <v>180</v>
      </c>
      <c r="C231" s="313"/>
      <c r="D231" s="410" t="s">
        <v>225</v>
      </c>
      <c r="E231" s="374" t="e">
        <f>((ROUND(E229/E230,0)&amp;" : "&amp;"1"))</f>
        <v>#DIV/0!</v>
      </c>
      <c r="F231" s="363" t="e">
        <f>((ROUND(F229/F230,0)&amp;" : "&amp;"1"))</f>
        <v>#DIV/0!</v>
      </c>
      <c r="G231" s="363" t="e">
        <f t="shared" ref="G231:Q231" si="24">((ROUND(G229/G230,0)&amp;" : "&amp;"1"))</f>
        <v>#DIV/0!</v>
      </c>
      <c r="H231" s="363" t="e">
        <f t="shared" si="24"/>
        <v>#DIV/0!</v>
      </c>
      <c r="I231" s="363" t="e">
        <f t="shared" si="24"/>
        <v>#DIV/0!</v>
      </c>
      <c r="J231" s="363" t="e">
        <f t="shared" si="24"/>
        <v>#DIV/0!</v>
      </c>
      <c r="K231" s="363" t="e">
        <f t="shared" si="24"/>
        <v>#DIV/0!</v>
      </c>
      <c r="L231" s="363" t="e">
        <f t="shared" si="24"/>
        <v>#DIV/0!</v>
      </c>
      <c r="M231" s="363" t="e">
        <f t="shared" si="24"/>
        <v>#DIV/0!</v>
      </c>
      <c r="N231" s="363" t="e">
        <f t="shared" si="24"/>
        <v>#DIV/0!</v>
      </c>
      <c r="O231" s="363" t="e">
        <f t="shared" si="24"/>
        <v>#DIV/0!</v>
      </c>
      <c r="P231" s="363" t="e">
        <f t="shared" si="24"/>
        <v>#DIV/0!</v>
      </c>
      <c r="Q231" s="401" t="e">
        <f t="shared" si="24"/>
        <v>#DIV/0!</v>
      </c>
    </row>
    <row r="232" spans="2:17" ht="21" hidden="1" customHeight="1" x14ac:dyDescent="0.3">
      <c r="B232" s="312" t="s">
        <v>179</v>
      </c>
      <c r="C232" s="313"/>
      <c r="D232" s="411" t="s">
        <v>212</v>
      </c>
      <c r="E232" s="369" t="s">
        <v>212</v>
      </c>
      <c r="F232" s="370" t="s">
        <v>212</v>
      </c>
      <c r="G232" s="370" t="s">
        <v>212</v>
      </c>
      <c r="H232" s="370" t="s">
        <v>212</v>
      </c>
      <c r="I232" s="370" t="s">
        <v>212</v>
      </c>
      <c r="J232" s="370" t="s">
        <v>212</v>
      </c>
      <c r="K232" s="370" t="s">
        <v>212</v>
      </c>
      <c r="L232" s="370" t="s">
        <v>212</v>
      </c>
      <c r="M232" s="370" t="s">
        <v>212</v>
      </c>
      <c r="N232" s="370" t="s">
        <v>212</v>
      </c>
      <c r="O232" s="370" t="s">
        <v>212</v>
      </c>
      <c r="P232" s="370" t="s">
        <v>212</v>
      </c>
      <c r="Q232" s="402" t="s">
        <v>212</v>
      </c>
    </row>
    <row r="233" spans="2:17" ht="21" hidden="1" customHeight="1" x14ac:dyDescent="0.3">
      <c r="B233" s="296" t="s">
        <v>202</v>
      </c>
      <c r="C233" s="298"/>
      <c r="D233" s="380"/>
      <c r="E233" s="299"/>
      <c r="F233" s="298"/>
      <c r="G233" s="298"/>
      <c r="H233" s="298"/>
      <c r="I233" s="1142"/>
      <c r="J233" s="1142"/>
      <c r="K233" s="298"/>
      <c r="L233" s="298"/>
      <c r="M233" s="298"/>
      <c r="N233" s="298"/>
      <c r="O233" s="298"/>
      <c r="P233" s="298"/>
      <c r="Q233" s="300"/>
    </row>
    <row r="234" spans="2:17" ht="21" hidden="1" customHeight="1" x14ac:dyDescent="0.3">
      <c r="B234" s="310" t="s">
        <v>178</v>
      </c>
      <c r="C234" s="313"/>
      <c r="D234" s="409" t="s">
        <v>238</v>
      </c>
      <c r="E234" s="373" t="e">
        <f>AVERAGE(F234:Q234)</f>
        <v>#DIV/0!</v>
      </c>
      <c r="F234" s="361"/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66"/>
    </row>
    <row r="235" spans="2:17" ht="21" hidden="1" customHeight="1" x14ac:dyDescent="0.3">
      <c r="B235" s="311" t="s">
        <v>177</v>
      </c>
      <c r="C235" s="313"/>
      <c r="D235" s="410" t="s">
        <v>235</v>
      </c>
      <c r="E235" s="374" t="e">
        <f>AVERAGE(F235:Q235)</f>
        <v>#DIV/0!</v>
      </c>
      <c r="F235" s="363"/>
      <c r="G235" s="364"/>
      <c r="H235" s="364"/>
      <c r="I235" s="364"/>
      <c r="J235" s="364"/>
      <c r="K235" s="364"/>
      <c r="L235" s="364"/>
      <c r="M235" s="364"/>
      <c r="N235" s="364"/>
      <c r="O235" s="364"/>
      <c r="P235" s="364"/>
      <c r="Q235" s="367"/>
    </row>
    <row r="236" spans="2:17" ht="21" hidden="1" customHeight="1" x14ac:dyDescent="0.3">
      <c r="B236" s="311" t="s">
        <v>180</v>
      </c>
      <c r="C236" s="313"/>
      <c r="D236" s="410" t="s">
        <v>236</v>
      </c>
      <c r="E236" s="374" t="e">
        <f>((ROUND(E234/E235,0)&amp;" : "&amp;"1"))</f>
        <v>#DIV/0!</v>
      </c>
      <c r="F236" s="363" t="e">
        <f>((ROUND(F234/F235,0)&amp;" : "&amp;"1"))</f>
        <v>#DIV/0!</v>
      </c>
      <c r="G236" s="363" t="e">
        <f t="shared" ref="G236:Q236" si="25">((ROUND(G234/G235,0)&amp;" : "&amp;"1"))</f>
        <v>#DIV/0!</v>
      </c>
      <c r="H236" s="363" t="e">
        <f t="shared" si="25"/>
        <v>#DIV/0!</v>
      </c>
      <c r="I236" s="363" t="e">
        <f t="shared" si="25"/>
        <v>#DIV/0!</v>
      </c>
      <c r="J236" s="363" t="e">
        <f t="shared" si="25"/>
        <v>#DIV/0!</v>
      </c>
      <c r="K236" s="363" t="e">
        <f t="shared" si="25"/>
        <v>#DIV/0!</v>
      </c>
      <c r="L236" s="363" t="e">
        <f t="shared" si="25"/>
        <v>#DIV/0!</v>
      </c>
      <c r="M236" s="363" t="e">
        <f t="shared" si="25"/>
        <v>#DIV/0!</v>
      </c>
      <c r="N236" s="363" t="e">
        <f t="shared" si="25"/>
        <v>#DIV/0!</v>
      </c>
      <c r="O236" s="363" t="e">
        <f t="shared" si="25"/>
        <v>#DIV/0!</v>
      </c>
      <c r="P236" s="363" t="e">
        <f t="shared" si="25"/>
        <v>#DIV/0!</v>
      </c>
      <c r="Q236" s="401" t="e">
        <f t="shared" si="25"/>
        <v>#DIV/0!</v>
      </c>
    </row>
    <row r="237" spans="2:17" ht="21" hidden="1" customHeight="1" x14ac:dyDescent="0.3">
      <c r="B237" s="316" t="s">
        <v>179</v>
      </c>
      <c r="C237" s="317"/>
      <c r="D237" s="412" t="s">
        <v>211</v>
      </c>
      <c r="E237" s="376" t="s">
        <v>211</v>
      </c>
      <c r="F237" s="377" t="s">
        <v>189</v>
      </c>
      <c r="G237" s="377" t="s">
        <v>189</v>
      </c>
      <c r="H237" s="377" t="s">
        <v>189</v>
      </c>
      <c r="I237" s="377" t="s">
        <v>189</v>
      </c>
      <c r="J237" s="377" t="s">
        <v>189</v>
      </c>
      <c r="K237" s="377" t="s">
        <v>189</v>
      </c>
      <c r="L237" s="377" t="s">
        <v>189</v>
      </c>
      <c r="M237" s="377" t="s">
        <v>189</v>
      </c>
      <c r="N237" s="378" t="s">
        <v>211</v>
      </c>
      <c r="O237" s="378" t="s">
        <v>211</v>
      </c>
      <c r="P237" s="378" t="s">
        <v>211</v>
      </c>
      <c r="Q237" s="379" t="s">
        <v>211</v>
      </c>
    </row>
    <row r="238" spans="2:17" hidden="1" x14ac:dyDescent="0.3"/>
    <row r="239" spans="2:17" hidden="1" x14ac:dyDescent="0.3"/>
  </sheetData>
  <mergeCells count="53">
    <mergeCell ref="I228:J228"/>
    <mergeCell ref="I233:J233"/>
    <mergeCell ref="B172:Q172"/>
    <mergeCell ref="B174:Q174"/>
    <mergeCell ref="B175:Q175"/>
    <mergeCell ref="C176:D177"/>
    <mergeCell ref="I223:J223"/>
    <mergeCell ref="B164:Q164"/>
    <mergeCell ref="C131:D134"/>
    <mergeCell ref="B136:Q136"/>
    <mergeCell ref="B137:Q137"/>
    <mergeCell ref="C138:D141"/>
    <mergeCell ref="B142:Q142"/>
    <mergeCell ref="C143:D143"/>
    <mergeCell ref="C144:D145"/>
    <mergeCell ref="B148:Q148"/>
    <mergeCell ref="B149:Q149"/>
    <mergeCell ref="B157:Q157"/>
    <mergeCell ref="B130:Q130"/>
    <mergeCell ref="C82:D84"/>
    <mergeCell ref="B85:Q85"/>
    <mergeCell ref="B96:Q96"/>
    <mergeCell ref="B102:Q102"/>
    <mergeCell ref="B105:Q105"/>
    <mergeCell ref="B115:Q115"/>
    <mergeCell ref="B116:Q116"/>
    <mergeCell ref="C117:D124"/>
    <mergeCell ref="B125:Q125"/>
    <mergeCell ref="C126:D129"/>
    <mergeCell ref="B81:Q81"/>
    <mergeCell ref="C51:D51"/>
    <mergeCell ref="C52:D52"/>
    <mergeCell ref="C53:D54"/>
    <mergeCell ref="B56:Q56"/>
    <mergeCell ref="B63:Q63"/>
    <mergeCell ref="C68:D68"/>
    <mergeCell ref="C69:D69"/>
    <mergeCell ref="C70:D70"/>
    <mergeCell ref="B74:Q74"/>
    <mergeCell ref="B75:Q75"/>
    <mergeCell ref="C77:D80"/>
    <mergeCell ref="B50:Q50"/>
    <mergeCell ref="C1:D1"/>
    <mergeCell ref="B3:Q3"/>
    <mergeCell ref="B4:Q4"/>
    <mergeCell ref="B5:Q5"/>
    <mergeCell ref="B24:Q24"/>
    <mergeCell ref="C25:D31"/>
    <mergeCell ref="C33:D34"/>
    <mergeCell ref="C36:D41"/>
    <mergeCell ref="B42:Q42"/>
    <mergeCell ref="C46:D47"/>
    <mergeCell ref="E46:E47"/>
  </mergeCells>
  <pageMargins left="0.25" right="0.25" top="0.75" bottom="0.5" header="0.3" footer="0.3"/>
  <pageSetup scale="40" fitToHeight="0" orientation="landscape" horizontalDpi="4294967295" verticalDpi="4294967295" r:id="rId1"/>
  <headerFooter>
    <oddHeader>&amp;C&amp;"-,Bold"&amp;14Durham County Department of Social Services
Management Data Report FY 17</oddHeader>
    <oddFooter>&amp;C&amp;14Page &amp;P of &amp;N</oddFooter>
  </headerFooter>
  <rowBreaks count="6" manualBreakCount="6">
    <brk id="41" max="16383" man="1"/>
    <brk id="73" max="16383" man="1"/>
    <brk id="114" max="16383" man="1"/>
    <brk id="147" max="16383" man="1"/>
    <brk id="178" max="16383" man="1"/>
    <brk id="206" max="16383" man="1"/>
  </rowBreaks>
  <ignoredErrors>
    <ignoredError sqref="E72" formula="1"/>
    <ignoredError sqref="H106 K158:N158 F158:J158 P106 P158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40"/>
  <sheetViews>
    <sheetView topLeftCell="B1" zoomScale="80" zoomScaleNormal="80" workbookViewId="0">
      <pane xSplit="4" ySplit="7" topLeftCell="H8" activePane="bottomRight" state="frozen"/>
      <selection activeCell="B1" sqref="B1"/>
      <selection pane="topRight" activeCell="F1" sqref="F1"/>
      <selection pane="bottomLeft" activeCell="B6" sqref="B6"/>
      <selection pane="bottomRight" activeCell="F27" sqref="F27:Q27"/>
    </sheetView>
  </sheetViews>
  <sheetFormatPr defaultColWidth="8.85546875" defaultRowHeight="18.75" x14ac:dyDescent="0.3"/>
  <cols>
    <col min="1" max="1" width="9.140625" style="1" hidden="1" customWidth="1"/>
    <col min="2" max="2" width="70.140625" style="1" customWidth="1"/>
    <col min="3" max="3" width="10.140625" style="10" bestFit="1" customWidth="1"/>
    <col min="4" max="4" width="11.85546875" style="10" customWidth="1"/>
    <col min="5" max="5" width="18" style="9" bestFit="1" customWidth="1"/>
    <col min="6" max="7" width="18.7109375" style="10" bestFit="1" customWidth="1"/>
    <col min="8" max="8" width="15.85546875" style="10" bestFit="1" customWidth="1"/>
    <col min="9" max="12" width="17.5703125" style="10" bestFit="1" customWidth="1"/>
    <col min="13" max="13" width="17.28515625" style="10" bestFit="1" customWidth="1"/>
    <col min="14" max="17" width="15.7109375" style="10" bestFit="1" customWidth="1"/>
    <col min="18" max="18" width="9.85546875" style="1" bestFit="1" customWidth="1"/>
    <col min="19" max="16384" width="8.85546875" style="1"/>
  </cols>
  <sheetData>
    <row r="1" spans="1:17" x14ac:dyDescent="0.3">
      <c r="A1" s="4"/>
      <c r="B1" s="11"/>
      <c r="C1" s="1096" t="s">
        <v>110</v>
      </c>
      <c r="D1" s="1097"/>
      <c r="E1" s="12" t="s">
        <v>123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x14ac:dyDescent="0.3">
      <c r="A2" s="4"/>
      <c r="B2" s="865"/>
      <c r="C2" s="866"/>
      <c r="D2" s="867"/>
      <c r="E2" s="868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70"/>
    </row>
    <row r="3" spans="1:17" x14ac:dyDescent="0.3">
      <c r="A3" s="4"/>
      <c r="B3" s="865"/>
      <c r="C3" s="866"/>
      <c r="D3" s="867"/>
      <c r="E3" s="868"/>
      <c r="F3" s="869"/>
      <c r="G3" s="869"/>
      <c r="H3" s="869"/>
      <c r="I3" s="869"/>
      <c r="J3" s="869"/>
      <c r="K3" s="869"/>
      <c r="L3" s="869"/>
      <c r="M3" s="869"/>
      <c r="N3" s="869"/>
      <c r="O3" s="869"/>
      <c r="P3" s="869"/>
      <c r="Q3" s="870"/>
    </row>
    <row r="4" spans="1:17" x14ac:dyDescent="0.3">
      <c r="A4" s="5"/>
      <c r="B4" s="15"/>
      <c r="C4" s="16" t="s">
        <v>159</v>
      </c>
      <c r="D4" s="17" t="s">
        <v>169</v>
      </c>
      <c r="E4" s="18" t="s">
        <v>213</v>
      </c>
      <c r="F4" s="19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0" t="s">
        <v>16</v>
      </c>
      <c r="Q4" s="20" t="s">
        <v>17</v>
      </c>
    </row>
    <row r="5" spans="1:17" x14ac:dyDescent="0.3">
      <c r="A5" s="5"/>
      <c r="B5" s="1098" t="s">
        <v>72</v>
      </c>
      <c r="C5" s="1099"/>
      <c r="D5" s="1099"/>
      <c r="E5" s="1099"/>
      <c r="F5" s="1099"/>
      <c r="G5" s="1099"/>
      <c r="H5" s="1099"/>
      <c r="I5" s="1099"/>
      <c r="J5" s="1099"/>
      <c r="K5" s="1099"/>
      <c r="L5" s="1099"/>
      <c r="M5" s="1099"/>
      <c r="N5" s="1099"/>
      <c r="O5" s="1099"/>
      <c r="P5" s="1099"/>
      <c r="Q5" s="1100"/>
    </row>
    <row r="6" spans="1:17" x14ac:dyDescent="0.3">
      <c r="A6" s="5"/>
      <c r="B6" s="1101" t="s">
        <v>3</v>
      </c>
      <c r="C6" s="1102"/>
      <c r="D6" s="1102"/>
      <c r="E6" s="1102"/>
      <c r="F6" s="1102"/>
      <c r="G6" s="1102"/>
      <c r="H6" s="1102"/>
      <c r="I6" s="1102"/>
      <c r="J6" s="1102"/>
      <c r="K6" s="1102"/>
      <c r="L6" s="1102"/>
      <c r="M6" s="1102"/>
      <c r="N6" s="1102"/>
      <c r="O6" s="1102"/>
      <c r="P6" s="1102"/>
      <c r="Q6" s="1103"/>
    </row>
    <row r="7" spans="1:17" x14ac:dyDescent="0.3">
      <c r="A7" s="5"/>
      <c r="B7" s="1093" t="s">
        <v>18</v>
      </c>
      <c r="C7" s="1094"/>
      <c r="D7" s="1094"/>
      <c r="E7" s="1094"/>
      <c r="F7" s="1094"/>
      <c r="G7" s="1094"/>
      <c r="H7" s="1094"/>
      <c r="I7" s="1094"/>
      <c r="J7" s="1094"/>
      <c r="K7" s="1094"/>
      <c r="L7" s="1094"/>
      <c r="M7" s="1094"/>
      <c r="N7" s="1094"/>
      <c r="O7" s="1094"/>
      <c r="P7" s="1094"/>
      <c r="Q7" s="1095"/>
    </row>
    <row r="8" spans="1:17" ht="24" customHeight="1" x14ac:dyDescent="0.3">
      <c r="A8" s="5"/>
      <c r="B8" s="21" t="s">
        <v>4</v>
      </c>
      <c r="C8" s="22">
        <v>3424</v>
      </c>
      <c r="D8" s="23">
        <v>3182</v>
      </c>
      <c r="E8" s="159">
        <f t="shared" ref="E8:E14" si="0">SUM(F8:Q8)</f>
        <v>3091</v>
      </c>
      <c r="F8" s="24">
        <v>230</v>
      </c>
      <c r="G8" s="25">
        <v>278</v>
      </c>
      <c r="H8" s="25">
        <v>267</v>
      </c>
      <c r="I8" s="25">
        <v>261</v>
      </c>
      <c r="J8" s="25">
        <v>248</v>
      </c>
      <c r="K8" s="25">
        <v>234</v>
      </c>
      <c r="L8" s="25">
        <v>212</v>
      </c>
      <c r="M8" s="25">
        <v>248</v>
      </c>
      <c r="N8" s="25">
        <v>267</v>
      </c>
      <c r="O8" s="25">
        <v>234</v>
      </c>
      <c r="P8" s="25">
        <v>352</v>
      </c>
      <c r="Q8" s="26">
        <v>260</v>
      </c>
    </row>
    <row r="9" spans="1:17" ht="24" customHeight="1" x14ac:dyDescent="0.3">
      <c r="A9" s="5"/>
      <c r="B9" s="27" t="s">
        <v>5</v>
      </c>
      <c r="C9" s="28">
        <v>2002</v>
      </c>
      <c r="D9" s="29">
        <v>1710</v>
      </c>
      <c r="E9" s="160">
        <f t="shared" si="0"/>
        <v>1566</v>
      </c>
      <c r="F9" s="30">
        <v>104</v>
      </c>
      <c r="G9" s="31">
        <v>135</v>
      </c>
      <c r="H9" s="31">
        <v>139</v>
      </c>
      <c r="I9" s="31">
        <v>142</v>
      </c>
      <c r="J9" s="31">
        <v>154</v>
      </c>
      <c r="K9" s="31">
        <v>140</v>
      </c>
      <c r="L9" s="31">
        <v>121</v>
      </c>
      <c r="M9" s="31">
        <v>142</v>
      </c>
      <c r="N9" s="31">
        <v>137</v>
      </c>
      <c r="O9" s="31">
        <v>82</v>
      </c>
      <c r="P9" s="31">
        <v>142</v>
      </c>
      <c r="Q9" s="32">
        <v>128</v>
      </c>
    </row>
    <row r="10" spans="1:17" ht="24" customHeight="1" x14ac:dyDescent="0.3">
      <c r="A10" s="5"/>
      <c r="B10" s="241" t="s">
        <v>143</v>
      </c>
      <c r="C10" s="33">
        <v>4820</v>
      </c>
      <c r="D10" s="34">
        <v>5271</v>
      </c>
      <c r="E10" s="160">
        <f t="shared" si="0"/>
        <v>4557</v>
      </c>
      <c r="F10" s="205">
        <f>119+119+127+43+0</f>
        <v>408</v>
      </c>
      <c r="G10" s="195">
        <f>152+168+115+2+33+0</f>
        <v>470</v>
      </c>
      <c r="H10" s="195">
        <v>423</v>
      </c>
      <c r="I10" s="195">
        <v>412</v>
      </c>
      <c r="J10" s="195">
        <v>351</v>
      </c>
      <c r="K10" s="195">
        <f>107+96+80+7+2+32</f>
        <v>324</v>
      </c>
      <c r="L10" s="31">
        <f>82+122+85+2+7</f>
        <v>298</v>
      </c>
      <c r="M10" s="31">
        <v>326</v>
      </c>
      <c r="N10" s="31">
        <f>115+127+144+3+1</f>
        <v>390</v>
      </c>
      <c r="O10" s="31">
        <f>108+94+93+3+2</f>
        <v>300</v>
      </c>
      <c r="P10" s="31">
        <f>139+150+126+37+4+1</f>
        <v>457</v>
      </c>
      <c r="Q10" s="32">
        <f>77+108+113+90+6+4</f>
        <v>398</v>
      </c>
    </row>
    <row r="11" spans="1:17" s="2" customFormat="1" ht="24" customHeight="1" x14ac:dyDescent="0.25">
      <c r="A11" s="6"/>
      <c r="B11" s="21" t="s">
        <v>145</v>
      </c>
      <c r="C11" s="210">
        <v>302</v>
      </c>
      <c r="D11" s="42">
        <v>237</v>
      </c>
      <c r="E11" s="162">
        <f t="shared" si="0"/>
        <v>346</v>
      </c>
      <c r="F11" s="43">
        <v>26</v>
      </c>
      <c r="G11" s="44">
        <v>24</v>
      </c>
      <c r="H11" s="44">
        <v>5</v>
      </c>
      <c r="I11" s="44">
        <v>65</v>
      </c>
      <c r="J11" s="44">
        <v>41</v>
      </c>
      <c r="K11" s="44">
        <v>12</v>
      </c>
      <c r="L11" s="44">
        <v>19</v>
      </c>
      <c r="M11" s="44">
        <v>19</v>
      </c>
      <c r="N11" s="44">
        <v>41</v>
      </c>
      <c r="O11" s="44">
        <v>22</v>
      </c>
      <c r="P11" s="44">
        <v>44</v>
      </c>
      <c r="Q11" s="45">
        <v>28</v>
      </c>
    </row>
    <row r="12" spans="1:17" s="2" customFormat="1" ht="37.35" customHeight="1" x14ac:dyDescent="0.25">
      <c r="A12" s="6"/>
      <c r="B12" s="183" t="s">
        <v>147</v>
      </c>
      <c r="C12" s="204">
        <v>245</v>
      </c>
      <c r="D12" s="42">
        <v>219</v>
      </c>
      <c r="E12" s="162">
        <f t="shared" si="0"/>
        <v>315</v>
      </c>
      <c r="F12" s="43">
        <v>26</v>
      </c>
      <c r="G12" s="44">
        <v>21</v>
      </c>
      <c r="H12" s="44">
        <v>5</v>
      </c>
      <c r="I12" s="44">
        <v>58</v>
      </c>
      <c r="J12" s="44">
        <v>37</v>
      </c>
      <c r="K12" s="44">
        <v>10</v>
      </c>
      <c r="L12" s="44">
        <v>17</v>
      </c>
      <c r="M12" s="44">
        <v>16</v>
      </c>
      <c r="N12" s="44">
        <v>37</v>
      </c>
      <c r="O12" s="44">
        <v>19</v>
      </c>
      <c r="P12" s="44">
        <v>42</v>
      </c>
      <c r="Q12" s="45">
        <v>27</v>
      </c>
    </row>
    <row r="13" spans="1:17" s="2" customFormat="1" ht="47.25" customHeight="1" x14ac:dyDescent="0.25">
      <c r="A13" s="6"/>
      <c r="B13" s="46" t="s">
        <v>146</v>
      </c>
      <c r="C13" s="204">
        <v>1163</v>
      </c>
      <c r="D13" s="42">
        <v>1029</v>
      </c>
      <c r="E13" s="163">
        <f t="shared" si="0"/>
        <v>1294</v>
      </c>
      <c r="F13" s="43">
        <v>76</v>
      </c>
      <c r="G13" s="44">
        <v>90</v>
      </c>
      <c r="H13" s="44">
        <v>24</v>
      </c>
      <c r="I13" s="44">
        <v>214</v>
      </c>
      <c r="J13" s="44">
        <v>171</v>
      </c>
      <c r="K13" s="44">
        <v>41</v>
      </c>
      <c r="L13" s="44">
        <v>49</v>
      </c>
      <c r="M13" s="44">
        <v>95</v>
      </c>
      <c r="N13" s="44">
        <v>186</v>
      </c>
      <c r="O13" s="44">
        <v>102</v>
      </c>
      <c r="P13" s="44">
        <v>155</v>
      </c>
      <c r="Q13" s="45">
        <v>91</v>
      </c>
    </row>
    <row r="14" spans="1:17" s="2" customFormat="1" ht="41.25" customHeight="1" x14ac:dyDescent="0.25">
      <c r="A14" s="6"/>
      <c r="B14" s="188" t="s">
        <v>148</v>
      </c>
      <c r="C14" s="204">
        <v>1101</v>
      </c>
      <c r="D14" s="34">
        <v>925</v>
      </c>
      <c r="E14" s="160">
        <f t="shared" si="0"/>
        <v>1160</v>
      </c>
      <c r="F14" s="30">
        <v>71</v>
      </c>
      <c r="G14" s="31">
        <v>84</v>
      </c>
      <c r="H14" s="31">
        <v>22</v>
      </c>
      <c r="I14" s="31">
        <v>187</v>
      </c>
      <c r="J14" s="31">
        <v>148</v>
      </c>
      <c r="K14" s="31">
        <v>38</v>
      </c>
      <c r="L14" s="31">
        <v>45</v>
      </c>
      <c r="M14" s="31">
        <v>76</v>
      </c>
      <c r="N14" s="31">
        <v>167</v>
      </c>
      <c r="O14" s="31">
        <v>90</v>
      </c>
      <c r="P14" s="31">
        <v>145</v>
      </c>
      <c r="Q14" s="32">
        <v>87</v>
      </c>
    </row>
    <row r="15" spans="1:17" s="2" customFormat="1" ht="30.75" hidden="1" customHeight="1" x14ac:dyDescent="0.25">
      <c r="A15" s="6"/>
      <c r="B15" s="319" t="s">
        <v>19</v>
      </c>
      <c r="C15" s="320"/>
      <c r="D15" s="321"/>
      <c r="E15" s="322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4"/>
    </row>
    <row r="16" spans="1:17" s="2" customFormat="1" ht="37.5" hidden="1" customHeight="1" x14ac:dyDescent="0.25">
      <c r="A16" s="6"/>
      <c r="B16" s="326" t="s">
        <v>192</v>
      </c>
      <c r="C16" s="325"/>
      <c r="D16" s="263"/>
      <c r="E16" s="344"/>
      <c r="F16" s="34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</row>
    <row r="17" spans="1:17" s="2" customFormat="1" ht="37.5" hidden="1" customHeight="1" x14ac:dyDescent="0.25">
      <c r="A17" s="6"/>
      <c r="B17" s="327" t="s">
        <v>22</v>
      </c>
      <c r="C17" s="325"/>
      <c r="D17" s="263"/>
      <c r="E17" s="334"/>
      <c r="F17" s="24"/>
      <c r="G17" s="25">
        <v>117</v>
      </c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1:17" s="2" customFormat="1" ht="39.75" hidden="1" customHeight="1" x14ac:dyDescent="0.25">
      <c r="A18" s="6"/>
      <c r="B18" s="327" t="s">
        <v>23</v>
      </c>
      <c r="C18" s="325"/>
      <c r="D18" s="263"/>
      <c r="E18" s="335"/>
      <c r="F18" s="24"/>
      <c r="G18" s="25">
        <v>93</v>
      </c>
      <c r="H18" s="25"/>
      <c r="I18" s="25"/>
      <c r="J18" s="25"/>
      <c r="K18" s="25"/>
      <c r="L18" s="25"/>
      <c r="M18" s="25"/>
      <c r="N18" s="25"/>
      <c r="O18" s="25"/>
      <c r="P18" s="25"/>
      <c r="Q18" s="26"/>
    </row>
    <row r="19" spans="1:17" s="2" customFormat="1" ht="47.25" hidden="1" customHeight="1" x14ac:dyDescent="0.25">
      <c r="A19" s="6"/>
      <c r="B19" s="327" t="s">
        <v>199</v>
      </c>
      <c r="C19" s="325"/>
      <c r="D19" s="263"/>
      <c r="E19" s="336"/>
      <c r="F19" s="24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</row>
    <row r="20" spans="1:17" s="2" customFormat="1" ht="38.25" hidden="1" customHeight="1" x14ac:dyDescent="0.25">
      <c r="A20" s="6"/>
      <c r="B20" s="241" t="s">
        <v>193</v>
      </c>
      <c r="C20" s="325"/>
      <c r="D20" s="263"/>
      <c r="E20" s="163"/>
      <c r="F20" s="4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</row>
    <row r="21" spans="1:17" s="2" customFormat="1" ht="62.25" hidden="1" customHeight="1" x14ac:dyDescent="0.25">
      <c r="A21" s="6"/>
      <c r="B21" s="241" t="s">
        <v>194</v>
      </c>
      <c r="C21" s="325"/>
      <c r="D21" s="263"/>
      <c r="E21" s="163"/>
      <c r="F21" s="43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</row>
    <row r="22" spans="1:17" s="2" customFormat="1" ht="52.5" hidden="1" customHeight="1" x14ac:dyDescent="0.25">
      <c r="A22" s="6"/>
      <c r="B22" s="327" t="s">
        <v>196</v>
      </c>
      <c r="C22" s="325"/>
      <c r="D22" s="263"/>
      <c r="E22" s="163"/>
      <c r="F22" s="43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</row>
    <row r="23" spans="1:17" s="2" customFormat="1" ht="45.75" hidden="1" customHeight="1" x14ac:dyDescent="0.25">
      <c r="A23" s="6"/>
      <c r="B23" s="327" t="s">
        <v>195</v>
      </c>
      <c r="C23" s="325"/>
      <c r="D23" s="263"/>
      <c r="E23" s="163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5"/>
    </row>
    <row r="24" spans="1:17" s="2" customFormat="1" ht="51" hidden="1" customHeight="1" x14ac:dyDescent="0.25">
      <c r="A24" s="6"/>
      <c r="B24" s="241" t="s">
        <v>197</v>
      </c>
      <c r="C24" s="325"/>
      <c r="D24" s="263"/>
      <c r="E24" s="163"/>
      <c r="F24" s="43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</row>
    <row r="25" spans="1:17" s="2" customFormat="1" ht="47.25" hidden="1" customHeight="1" x14ac:dyDescent="0.25">
      <c r="A25" s="6"/>
      <c r="B25" s="328" t="s">
        <v>198</v>
      </c>
      <c r="C25" s="325"/>
      <c r="D25" s="263"/>
      <c r="E25" s="160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</row>
    <row r="26" spans="1:17" x14ac:dyDescent="0.3">
      <c r="A26" s="5"/>
      <c r="B26" s="1093" t="s">
        <v>20</v>
      </c>
      <c r="C26" s="1094"/>
      <c r="D26" s="1094"/>
      <c r="E26" s="1094"/>
      <c r="F26" s="1094"/>
      <c r="G26" s="1094"/>
      <c r="H26" s="1094"/>
      <c r="I26" s="1094"/>
      <c r="J26" s="1094"/>
      <c r="K26" s="1094"/>
      <c r="L26" s="1094"/>
      <c r="M26" s="1094"/>
      <c r="N26" s="1094"/>
      <c r="O26" s="1094"/>
      <c r="P26" s="1094"/>
      <c r="Q26" s="1095"/>
    </row>
    <row r="27" spans="1:17" s="2" customFormat="1" ht="24" customHeight="1" x14ac:dyDescent="0.25">
      <c r="A27" s="6"/>
      <c r="B27" s="21" t="s">
        <v>254</v>
      </c>
      <c r="C27" s="1104"/>
      <c r="D27" s="1105"/>
      <c r="E27" s="1115"/>
      <c r="F27" s="24">
        <f>SUM(F28:F29)</f>
        <v>252</v>
      </c>
      <c r="G27" s="25">
        <f>SUM(G28:G29)</f>
        <v>259</v>
      </c>
      <c r="H27" s="222">
        <v>262</v>
      </c>
      <c r="I27" s="458">
        <v>265</v>
      </c>
      <c r="J27" s="222">
        <v>267</v>
      </c>
      <c r="K27" s="222">
        <v>263</v>
      </c>
      <c r="L27" s="222">
        <f>SUM(L28:L29)</f>
        <v>250</v>
      </c>
      <c r="M27" s="222">
        <v>252</v>
      </c>
      <c r="N27" s="222">
        <v>256</v>
      </c>
      <c r="O27" s="222">
        <v>281</v>
      </c>
      <c r="P27" s="222">
        <v>281</v>
      </c>
      <c r="Q27" s="267">
        <v>286</v>
      </c>
    </row>
    <row r="28" spans="1:17" s="2" customFormat="1" ht="24" customHeight="1" x14ac:dyDescent="0.25">
      <c r="A28" s="6"/>
      <c r="B28" s="185" t="s">
        <v>22</v>
      </c>
      <c r="C28" s="1104"/>
      <c r="D28" s="1105"/>
      <c r="E28" s="1115"/>
      <c r="F28" s="43">
        <v>132</v>
      </c>
      <c r="G28" s="44">
        <v>133</v>
      </c>
      <c r="H28" s="256">
        <v>137</v>
      </c>
      <c r="I28" s="44">
        <v>140</v>
      </c>
      <c r="J28" s="44">
        <v>145</v>
      </c>
      <c r="K28" s="44">
        <v>143</v>
      </c>
      <c r="L28" s="44">
        <v>135</v>
      </c>
      <c r="M28" s="44">
        <v>136</v>
      </c>
      <c r="N28" s="44">
        <v>140</v>
      </c>
      <c r="O28" s="44">
        <v>149</v>
      </c>
      <c r="P28" s="44">
        <v>145</v>
      </c>
      <c r="Q28" s="45">
        <v>144</v>
      </c>
    </row>
    <row r="29" spans="1:17" s="2" customFormat="1" ht="24" customHeight="1" x14ac:dyDescent="0.25">
      <c r="A29" s="6"/>
      <c r="B29" s="185" t="s">
        <v>23</v>
      </c>
      <c r="C29" s="1104"/>
      <c r="D29" s="1105"/>
      <c r="E29" s="1115"/>
      <c r="F29" s="43">
        <v>120</v>
      </c>
      <c r="G29" s="44">
        <v>126</v>
      </c>
      <c r="H29" s="256">
        <v>125</v>
      </c>
      <c r="I29" s="44">
        <v>125</v>
      </c>
      <c r="J29" s="44">
        <v>122</v>
      </c>
      <c r="K29" s="44">
        <v>120</v>
      </c>
      <c r="L29" s="44">
        <v>115</v>
      </c>
      <c r="M29" s="44">
        <v>116</v>
      </c>
      <c r="N29" s="44">
        <v>116</v>
      </c>
      <c r="O29" s="44">
        <v>132</v>
      </c>
      <c r="P29" s="44">
        <v>136</v>
      </c>
      <c r="Q29" s="45">
        <v>142</v>
      </c>
    </row>
    <row r="30" spans="1:17" s="2" customFormat="1" ht="24" customHeight="1" x14ac:dyDescent="0.25">
      <c r="A30" s="6"/>
      <c r="B30" s="185" t="s">
        <v>25</v>
      </c>
      <c r="C30" s="1104"/>
      <c r="D30" s="1105"/>
      <c r="E30" s="1115"/>
      <c r="F30" s="43">
        <v>106</v>
      </c>
      <c r="G30" s="44">
        <v>108</v>
      </c>
      <c r="H30" s="256">
        <v>107</v>
      </c>
      <c r="I30" s="44">
        <v>113</v>
      </c>
      <c r="J30" s="44">
        <v>99</v>
      </c>
      <c r="K30" s="44">
        <v>88</v>
      </c>
      <c r="L30" s="44">
        <v>90</v>
      </c>
      <c r="M30" s="44">
        <v>90</v>
      </c>
      <c r="N30" s="44">
        <v>93</v>
      </c>
      <c r="O30" s="44">
        <v>117</v>
      </c>
      <c r="P30" s="44">
        <v>118</v>
      </c>
      <c r="Q30" s="45">
        <v>122</v>
      </c>
    </row>
    <row r="31" spans="1:17" s="2" customFormat="1" ht="24" customHeight="1" x14ac:dyDescent="0.25">
      <c r="A31" s="6"/>
      <c r="B31" s="185" t="s">
        <v>24</v>
      </c>
      <c r="C31" s="1104"/>
      <c r="D31" s="1105"/>
      <c r="E31" s="1115"/>
      <c r="F31" s="43">
        <v>73</v>
      </c>
      <c r="G31" s="44">
        <v>81</v>
      </c>
      <c r="H31" s="256">
        <v>87</v>
      </c>
      <c r="I31" s="44">
        <v>86</v>
      </c>
      <c r="J31" s="44">
        <v>93</v>
      </c>
      <c r="K31" s="44">
        <v>100</v>
      </c>
      <c r="L31" s="44">
        <v>91</v>
      </c>
      <c r="M31" s="44">
        <v>82</v>
      </c>
      <c r="N31" s="44">
        <v>80</v>
      </c>
      <c r="O31" s="44">
        <v>78</v>
      </c>
      <c r="P31" s="44">
        <v>82</v>
      </c>
      <c r="Q31" s="45">
        <v>79</v>
      </c>
    </row>
    <row r="32" spans="1:17" s="2" customFormat="1" ht="24" customHeight="1" x14ac:dyDescent="0.25">
      <c r="A32" s="6"/>
      <c r="B32" s="185" t="s">
        <v>26</v>
      </c>
      <c r="C32" s="1104"/>
      <c r="D32" s="1105"/>
      <c r="E32" s="1115"/>
      <c r="F32" s="43">
        <v>73</v>
      </c>
      <c r="G32" s="44">
        <v>70</v>
      </c>
      <c r="H32" s="256">
        <v>68</v>
      </c>
      <c r="I32" s="44">
        <v>66</v>
      </c>
      <c r="J32" s="44">
        <v>75</v>
      </c>
      <c r="K32" s="44">
        <v>75</v>
      </c>
      <c r="L32" s="44">
        <v>69</v>
      </c>
      <c r="M32" s="44">
        <v>80</v>
      </c>
      <c r="N32" s="44">
        <v>83</v>
      </c>
      <c r="O32" s="44">
        <v>86</v>
      </c>
      <c r="P32" s="44">
        <v>81</v>
      </c>
      <c r="Q32" s="45">
        <v>85</v>
      </c>
    </row>
    <row r="33" spans="1:17" s="2" customFormat="1" ht="37.5" x14ac:dyDescent="0.25">
      <c r="A33" s="6"/>
      <c r="B33" s="49" t="s">
        <v>121</v>
      </c>
      <c r="C33" s="1104"/>
      <c r="D33" s="1105"/>
      <c r="E33" s="1115"/>
      <c r="F33" s="43">
        <v>3</v>
      </c>
      <c r="G33" s="44">
        <v>3</v>
      </c>
      <c r="H33" s="256">
        <v>3</v>
      </c>
      <c r="I33" s="44">
        <v>1</v>
      </c>
      <c r="J33" s="44">
        <v>2</v>
      </c>
      <c r="K33" s="44">
        <v>2</v>
      </c>
      <c r="L33" s="44">
        <v>2</v>
      </c>
      <c r="M33" s="44">
        <v>2</v>
      </c>
      <c r="N33" s="44">
        <v>2</v>
      </c>
      <c r="O33" s="44">
        <v>2</v>
      </c>
      <c r="P33" s="44">
        <v>2</v>
      </c>
      <c r="Q33" s="45">
        <v>2</v>
      </c>
    </row>
    <row r="34" spans="1:17" s="2" customFormat="1" ht="24" customHeight="1" x14ac:dyDescent="0.25">
      <c r="A34" s="6"/>
      <c r="B34" s="46" t="s">
        <v>111</v>
      </c>
      <c r="C34" s="1106"/>
      <c r="D34" s="1107"/>
      <c r="E34" s="161">
        <f>SUM(F34:Q34)</f>
        <v>116</v>
      </c>
      <c r="F34" s="43">
        <v>10</v>
      </c>
      <c r="G34" s="44">
        <v>9</v>
      </c>
      <c r="H34" s="256">
        <v>8</v>
      </c>
      <c r="I34" s="44">
        <v>8</v>
      </c>
      <c r="J34" s="44">
        <v>14</v>
      </c>
      <c r="K34" s="256">
        <v>5</v>
      </c>
      <c r="L34" s="44">
        <v>2</v>
      </c>
      <c r="M34" s="44">
        <v>4</v>
      </c>
      <c r="N34" s="44">
        <v>18</v>
      </c>
      <c r="O34" s="44">
        <v>15</v>
      </c>
      <c r="P34" s="44">
        <v>11</v>
      </c>
      <c r="Q34" s="45">
        <v>12</v>
      </c>
    </row>
    <row r="35" spans="1:17" s="2" customFormat="1" ht="24" customHeight="1" x14ac:dyDescent="0.25">
      <c r="A35" s="6"/>
      <c r="B35" s="46" t="s">
        <v>138</v>
      </c>
      <c r="C35" s="1106"/>
      <c r="D35" s="1107"/>
      <c r="E35" s="164">
        <f>SUM(F35:Q35)</f>
        <v>91</v>
      </c>
      <c r="F35" s="30">
        <f t="shared" ref="F35:K35" si="1">SUM(F37:F42)</f>
        <v>6</v>
      </c>
      <c r="G35" s="31">
        <f t="shared" si="1"/>
        <v>7</v>
      </c>
      <c r="H35" s="234">
        <f t="shared" si="1"/>
        <v>4</v>
      </c>
      <c r="I35" s="234">
        <f t="shared" si="1"/>
        <v>2</v>
      </c>
      <c r="J35" s="234">
        <f t="shared" si="1"/>
        <v>9</v>
      </c>
      <c r="K35" s="234">
        <f t="shared" si="1"/>
        <v>12</v>
      </c>
      <c r="L35" s="234">
        <f>SUM(L36:L42)</f>
        <v>16</v>
      </c>
      <c r="M35" s="234">
        <f>SUM(M37:M42)</f>
        <v>4</v>
      </c>
      <c r="N35" s="234">
        <v>9</v>
      </c>
      <c r="O35" s="234">
        <v>2</v>
      </c>
      <c r="P35" s="234">
        <v>14</v>
      </c>
      <c r="Q35" s="276">
        <v>6</v>
      </c>
    </row>
    <row r="36" spans="1:17" s="2" customFormat="1" ht="24" customHeight="1" x14ac:dyDescent="0.25">
      <c r="A36" s="6"/>
      <c r="B36" s="186" t="s">
        <v>112</v>
      </c>
      <c r="C36" s="56"/>
      <c r="D36" s="57"/>
      <c r="E36" s="58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270"/>
    </row>
    <row r="37" spans="1:17" s="2" customFormat="1" ht="24" customHeight="1" x14ac:dyDescent="0.25">
      <c r="A37" s="6"/>
      <c r="B37" s="186" t="s">
        <v>113</v>
      </c>
      <c r="C37" s="1108"/>
      <c r="D37" s="1109"/>
      <c r="E37" s="161">
        <f t="shared" ref="E37:E42" si="2">SUM(F37:Q37)</f>
        <v>22</v>
      </c>
      <c r="F37" s="24">
        <v>2</v>
      </c>
      <c r="G37" s="229">
        <v>0</v>
      </c>
      <c r="H37" s="25">
        <v>1</v>
      </c>
      <c r="I37" s="25">
        <v>0</v>
      </c>
      <c r="J37" s="25">
        <v>1</v>
      </c>
      <c r="K37" s="25">
        <v>6</v>
      </c>
      <c r="L37" s="25">
        <v>8</v>
      </c>
      <c r="M37" s="25">
        <v>0</v>
      </c>
      <c r="N37" s="25">
        <v>1</v>
      </c>
      <c r="O37" s="25">
        <v>0</v>
      </c>
      <c r="P37" s="25">
        <v>2</v>
      </c>
      <c r="Q37" s="202">
        <v>1</v>
      </c>
    </row>
    <row r="38" spans="1:17" s="2" customFormat="1" ht="24" customHeight="1" x14ac:dyDescent="0.25">
      <c r="A38" s="6"/>
      <c r="B38" s="186" t="s">
        <v>139</v>
      </c>
      <c r="C38" s="1108"/>
      <c r="D38" s="1109"/>
      <c r="E38" s="161">
        <f t="shared" si="2"/>
        <v>5</v>
      </c>
      <c r="F38" s="24">
        <v>0</v>
      </c>
      <c r="G38" s="229">
        <v>0</v>
      </c>
      <c r="H38" s="25">
        <v>1</v>
      </c>
      <c r="I38" s="25">
        <v>0</v>
      </c>
      <c r="J38" s="25">
        <v>0</v>
      </c>
      <c r="K38" s="25">
        <v>2</v>
      </c>
      <c r="L38" s="25">
        <v>0</v>
      </c>
      <c r="M38" s="25">
        <v>0</v>
      </c>
      <c r="N38" s="25">
        <v>0</v>
      </c>
      <c r="O38" s="25">
        <v>2</v>
      </c>
      <c r="P38" s="25">
        <v>0</v>
      </c>
      <c r="Q38" s="202">
        <v>0</v>
      </c>
    </row>
    <row r="39" spans="1:17" s="2" customFormat="1" ht="24" customHeight="1" x14ac:dyDescent="0.25">
      <c r="A39" s="6"/>
      <c r="B39" s="186" t="s">
        <v>114</v>
      </c>
      <c r="C39" s="1108"/>
      <c r="D39" s="1109"/>
      <c r="E39" s="161">
        <f t="shared" si="2"/>
        <v>6</v>
      </c>
      <c r="F39" s="43">
        <v>0</v>
      </c>
      <c r="G39" s="229">
        <v>2</v>
      </c>
      <c r="H39" s="44">
        <v>0</v>
      </c>
      <c r="I39" s="44">
        <v>1</v>
      </c>
      <c r="J39" s="44">
        <v>2</v>
      </c>
      <c r="K39" s="44">
        <v>0</v>
      </c>
      <c r="L39" s="44">
        <v>1</v>
      </c>
      <c r="M39" s="44">
        <v>0</v>
      </c>
      <c r="N39" s="44">
        <v>0</v>
      </c>
      <c r="O39" s="44">
        <v>0</v>
      </c>
      <c r="P39" s="44">
        <v>0</v>
      </c>
      <c r="Q39" s="202">
        <v>0</v>
      </c>
    </row>
    <row r="40" spans="1:17" s="2" customFormat="1" ht="24" customHeight="1" x14ac:dyDescent="0.25">
      <c r="A40" s="6"/>
      <c r="B40" s="186" t="s">
        <v>115</v>
      </c>
      <c r="C40" s="1108"/>
      <c r="D40" s="1109"/>
      <c r="E40" s="161">
        <f t="shared" si="2"/>
        <v>40</v>
      </c>
      <c r="F40" s="43">
        <v>1</v>
      </c>
      <c r="G40" s="229">
        <v>3</v>
      </c>
      <c r="H40" s="44">
        <v>0</v>
      </c>
      <c r="I40" s="44">
        <v>0</v>
      </c>
      <c r="J40" s="44">
        <v>2</v>
      </c>
      <c r="K40" s="44">
        <v>3</v>
      </c>
      <c r="L40" s="44">
        <v>7</v>
      </c>
      <c r="M40" s="44">
        <v>1</v>
      </c>
      <c r="N40" s="44">
        <v>8</v>
      </c>
      <c r="O40" s="44">
        <v>0</v>
      </c>
      <c r="P40" s="44">
        <v>11</v>
      </c>
      <c r="Q40" s="202">
        <v>4</v>
      </c>
    </row>
    <row r="41" spans="1:17" s="2" customFormat="1" ht="24" customHeight="1" x14ac:dyDescent="0.25">
      <c r="A41" s="6"/>
      <c r="B41" s="186" t="s">
        <v>117</v>
      </c>
      <c r="C41" s="1108"/>
      <c r="D41" s="1109"/>
      <c r="E41" s="161">
        <f t="shared" si="2"/>
        <v>14</v>
      </c>
      <c r="F41" s="43">
        <v>3</v>
      </c>
      <c r="G41" s="229">
        <v>2</v>
      </c>
      <c r="H41" s="44">
        <v>2</v>
      </c>
      <c r="I41" s="44">
        <v>0</v>
      </c>
      <c r="J41" s="44">
        <v>1</v>
      </c>
      <c r="K41" s="44">
        <v>1</v>
      </c>
      <c r="L41" s="44">
        <v>0</v>
      </c>
      <c r="M41" s="44">
        <v>3</v>
      </c>
      <c r="N41" s="44">
        <v>0</v>
      </c>
      <c r="O41" s="44">
        <v>0</v>
      </c>
      <c r="P41" s="44">
        <v>1</v>
      </c>
      <c r="Q41" s="202">
        <v>1</v>
      </c>
    </row>
    <row r="42" spans="1:17" s="2" customFormat="1" ht="24" customHeight="1" x14ac:dyDescent="0.25">
      <c r="A42" s="6"/>
      <c r="B42" s="246" t="s">
        <v>251</v>
      </c>
      <c r="C42" s="1110"/>
      <c r="D42" s="1111"/>
      <c r="E42" s="165">
        <f t="shared" si="2"/>
        <v>4</v>
      </c>
      <c r="F42" s="66">
        <v>0</v>
      </c>
      <c r="G42" s="247">
        <v>0</v>
      </c>
      <c r="H42" s="67">
        <v>0</v>
      </c>
      <c r="I42" s="67">
        <v>1</v>
      </c>
      <c r="J42" s="67">
        <v>3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249">
        <v>0</v>
      </c>
    </row>
    <row r="43" spans="1:17" x14ac:dyDescent="0.3">
      <c r="A43" s="5"/>
      <c r="B43" s="1112" t="s">
        <v>120</v>
      </c>
      <c r="C43" s="1113"/>
      <c r="D43" s="1113"/>
      <c r="E43" s="1113"/>
      <c r="F43" s="1113"/>
      <c r="G43" s="1113"/>
      <c r="H43" s="1113"/>
      <c r="I43" s="1113"/>
      <c r="J43" s="1113"/>
      <c r="K43" s="1113"/>
      <c r="L43" s="1113"/>
      <c r="M43" s="1113"/>
      <c r="N43" s="1113"/>
      <c r="O43" s="1113"/>
      <c r="P43" s="1113"/>
      <c r="Q43" s="1114"/>
    </row>
    <row r="44" spans="1:17" s="2" customFormat="1" ht="24" customHeight="1" x14ac:dyDescent="0.25">
      <c r="A44" s="6"/>
      <c r="B44" s="21" t="s">
        <v>27</v>
      </c>
      <c r="C44" s="61">
        <v>5</v>
      </c>
      <c r="D44" s="62">
        <v>7</v>
      </c>
      <c r="E44" s="161">
        <f>SUM(F44:Q44)</f>
        <v>23</v>
      </c>
      <c r="F44" s="24">
        <v>0</v>
      </c>
      <c r="G44" s="229">
        <v>0</v>
      </c>
      <c r="H44" s="25">
        <v>0</v>
      </c>
      <c r="I44" s="25">
        <v>0</v>
      </c>
      <c r="J44" s="25">
        <v>2</v>
      </c>
      <c r="K44" s="25">
        <v>0</v>
      </c>
      <c r="L44" s="25">
        <v>2</v>
      </c>
      <c r="M44" s="25">
        <v>1</v>
      </c>
      <c r="N44" s="467">
        <v>6</v>
      </c>
      <c r="O44" s="25">
        <v>0</v>
      </c>
      <c r="P44" s="25">
        <v>10</v>
      </c>
      <c r="Q44" s="202">
        <v>2</v>
      </c>
    </row>
    <row r="45" spans="1:17" s="2" customFormat="1" ht="24" customHeight="1" x14ac:dyDescent="0.25">
      <c r="A45" s="6"/>
      <c r="B45" s="46" t="s">
        <v>28</v>
      </c>
      <c r="C45" s="51">
        <v>13</v>
      </c>
      <c r="D45" s="52">
        <v>15</v>
      </c>
      <c r="E45" s="162">
        <f>SUM(F45:Q45)</f>
        <v>17</v>
      </c>
      <c r="F45" s="43">
        <v>1</v>
      </c>
      <c r="G45" s="229">
        <v>3</v>
      </c>
      <c r="H45" s="44">
        <v>0</v>
      </c>
      <c r="I45" s="44">
        <v>0</v>
      </c>
      <c r="J45" s="44">
        <v>0</v>
      </c>
      <c r="K45" s="44">
        <v>3</v>
      </c>
      <c r="L45" s="44">
        <v>5</v>
      </c>
      <c r="M45" s="44">
        <v>0</v>
      </c>
      <c r="N45" s="25">
        <v>2</v>
      </c>
      <c r="O45" s="44">
        <v>0</v>
      </c>
      <c r="P45" s="44">
        <v>1</v>
      </c>
      <c r="Q45" s="202">
        <v>2</v>
      </c>
    </row>
    <row r="46" spans="1:17" s="2" customFormat="1" ht="24" customHeight="1" x14ac:dyDescent="0.25">
      <c r="A46" s="6"/>
      <c r="B46" s="46" t="s">
        <v>34</v>
      </c>
      <c r="C46" s="53">
        <v>36</v>
      </c>
      <c r="D46" s="54">
        <v>24</v>
      </c>
      <c r="E46" s="164">
        <f>SUM(F46:Q46)</f>
        <v>31</v>
      </c>
      <c r="F46" s="43">
        <v>2</v>
      </c>
      <c r="G46" s="44">
        <v>2</v>
      </c>
      <c r="H46" s="44">
        <v>0</v>
      </c>
      <c r="I46" s="44">
        <v>4</v>
      </c>
      <c r="J46" s="44">
        <v>9</v>
      </c>
      <c r="K46" s="44">
        <v>0</v>
      </c>
      <c r="L46" s="44">
        <v>5</v>
      </c>
      <c r="M46" s="44">
        <v>3</v>
      </c>
      <c r="N46" s="44">
        <v>0</v>
      </c>
      <c r="O46" s="44">
        <v>6</v>
      </c>
      <c r="P46" s="44">
        <v>0</v>
      </c>
      <c r="Q46" s="202">
        <v>0</v>
      </c>
    </row>
    <row r="47" spans="1:17" s="2" customFormat="1" ht="24" hidden="1" customHeight="1" x14ac:dyDescent="0.25">
      <c r="A47" s="6"/>
      <c r="B47" s="46" t="s">
        <v>29</v>
      </c>
      <c r="C47" s="1104"/>
      <c r="D47" s="1105"/>
      <c r="E47" s="1115"/>
      <c r="F47" s="43">
        <v>28</v>
      </c>
      <c r="G47" s="44">
        <v>29</v>
      </c>
      <c r="H47" s="44">
        <v>30</v>
      </c>
      <c r="I47" s="354" t="s">
        <v>136</v>
      </c>
      <c r="J47" s="44">
        <v>36</v>
      </c>
      <c r="K47" s="44">
        <v>36</v>
      </c>
      <c r="L47" s="44">
        <v>38</v>
      </c>
      <c r="M47" s="44">
        <v>30</v>
      </c>
      <c r="N47" s="44">
        <v>30</v>
      </c>
      <c r="O47" s="44"/>
      <c r="P47" s="44"/>
      <c r="Q47" s="202"/>
    </row>
    <row r="48" spans="1:17" s="2" customFormat="1" ht="24" hidden="1" customHeight="1" x14ac:dyDescent="0.25">
      <c r="A48" s="6"/>
      <c r="B48" s="46" t="s">
        <v>30</v>
      </c>
      <c r="C48" s="1104"/>
      <c r="D48" s="1105"/>
      <c r="E48" s="1115"/>
      <c r="F48" s="195">
        <v>23</v>
      </c>
      <c r="G48" s="195">
        <v>29</v>
      </c>
      <c r="H48" s="195">
        <v>21</v>
      </c>
      <c r="I48" s="354" t="s">
        <v>136</v>
      </c>
      <c r="J48" s="354" t="s">
        <v>136</v>
      </c>
      <c r="K48" s="354" t="s">
        <v>136</v>
      </c>
      <c r="L48" s="354" t="s">
        <v>136</v>
      </c>
      <c r="M48" s="354" t="s">
        <v>136</v>
      </c>
      <c r="N48" s="195"/>
      <c r="O48" s="195"/>
      <c r="P48" s="44"/>
      <c r="Q48" s="202"/>
    </row>
    <row r="49" spans="1:17" s="2" customFormat="1" ht="24" hidden="1" customHeight="1" x14ac:dyDescent="0.25">
      <c r="A49" s="6"/>
      <c r="B49" s="46" t="s">
        <v>36</v>
      </c>
      <c r="C49" s="61">
        <v>52</v>
      </c>
      <c r="D49" s="62">
        <v>70</v>
      </c>
      <c r="E49" s="161">
        <f>SUM(F49:Q49)</f>
        <v>12</v>
      </c>
      <c r="F49" s="43">
        <v>6</v>
      </c>
      <c r="G49" s="44">
        <v>6</v>
      </c>
      <c r="H49" s="354" t="s">
        <v>136</v>
      </c>
      <c r="I49" s="354" t="s">
        <v>136</v>
      </c>
      <c r="J49" s="354" t="s">
        <v>136</v>
      </c>
      <c r="K49" s="354" t="s">
        <v>136</v>
      </c>
      <c r="L49" s="354" t="s">
        <v>136</v>
      </c>
      <c r="M49" s="44">
        <v>0</v>
      </c>
      <c r="N49" s="44">
        <v>0</v>
      </c>
      <c r="O49" s="44"/>
      <c r="P49" s="44"/>
      <c r="Q49" s="45"/>
    </row>
    <row r="50" spans="1:17" s="2" customFormat="1" ht="24" hidden="1" customHeight="1" x14ac:dyDescent="0.25">
      <c r="A50" s="6"/>
      <c r="B50" s="27" t="s">
        <v>35</v>
      </c>
      <c r="C50" s="53">
        <v>269</v>
      </c>
      <c r="D50" s="54">
        <v>300</v>
      </c>
      <c r="E50" s="164">
        <f>SUM(F50:Q50)</f>
        <v>250</v>
      </c>
      <c r="F50" s="30">
        <v>33</v>
      </c>
      <c r="G50" s="31">
        <v>22</v>
      </c>
      <c r="H50" s="195">
        <v>17</v>
      </c>
      <c r="I50" s="195">
        <v>23</v>
      </c>
      <c r="J50" s="195">
        <v>23</v>
      </c>
      <c r="K50" s="195">
        <v>32</v>
      </c>
      <c r="L50" s="31">
        <v>30</v>
      </c>
      <c r="M50" s="31">
        <v>34</v>
      </c>
      <c r="N50" s="31">
        <v>36</v>
      </c>
      <c r="O50" s="31"/>
      <c r="P50" s="31"/>
      <c r="Q50" s="32"/>
    </row>
    <row r="51" spans="1:17" x14ac:dyDescent="0.3">
      <c r="A51" s="5"/>
      <c r="B51" s="1093" t="s">
        <v>31</v>
      </c>
      <c r="C51" s="1094"/>
      <c r="D51" s="1094"/>
      <c r="E51" s="1094"/>
      <c r="F51" s="1094"/>
      <c r="G51" s="1094"/>
      <c r="H51" s="1094"/>
      <c r="I51" s="1094"/>
      <c r="J51" s="1094"/>
      <c r="K51" s="1094"/>
      <c r="L51" s="1094"/>
      <c r="M51" s="1094"/>
      <c r="N51" s="1094"/>
      <c r="O51" s="1094"/>
      <c r="P51" s="1094"/>
      <c r="Q51" s="1095"/>
    </row>
    <row r="52" spans="1:17" s="2" customFormat="1" ht="24" customHeight="1" x14ac:dyDescent="0.25">
      <c r="A52" s="6"/>
      <c r="B52" s="21" t="s">
        <v>38</v>
      </c>
      <c r="C52" s="1119"/>
      <c r="D52" s="1120"/>
      <c r="E52" s="166">
        <v>59</v>
      </c>
      <c r="F52" s="24">
        <v>56</v>
      </c>
      <c r="G52" s="25">
        <v>59</v>
      </c>
      <c r="H52" s="25">
        <v>61</v>
      </c>
      <c r="I52" s="25">
        <v>64</v>
      </c>
      <c r="J52" s="25">
        <v>64</v>
      </c>
      <c r="K52" s="25">
        <v>64</v>
      </c>
      <c r="L52" s="25">
        <v>68</v>
      </c>
      <c r="M52" s="25">
        <v>70</v>
      </c>
      <c r="N52" s="25">
        <v>75</v>
      </c>
      <c r="O52" s="25">
        <v>77</v>
      </c>
      <c r="P52" s="25">
        <v>78</v>
      </c>
      <c r="Q52" s="26">
        <v>79</v>
      </c>
    </row>
    <row r="53" spans="1:17" s="2" customFormat="1" ht="24" customHeight="1" x14ac:dyDescent="0.25">
      <c r="A53" s="6"/>
      <c r="B53" s="185" t="s">
        <v>140</v>
      </c>
      <c r="C53" s="1119"/>
      <c r="D53" s="1120"/>
      <c r="E53" s="69"/>
      <c r="F53" s="43">
        <v>2</v>
      </c>
      <c r="G53" s="44">
        <v>3</v>
      </c>
      <c r="H53" s="44">
        <v>1</v>
      </c>
      <c r="I53" s="44">
        <v>3</v>
      </c>
      <c r="J53" s="44">
        <v>2</v>
      </c>
      <c r="K53" s="44">
        <v>0</v>
      </c>
      <c r="L53" s="44">
        <v>4</v>
      </c>
      <c r="M53" s="44">
        <v>4</v>
      </c>
      <c r="N53" s="44">
        <v>4</v>
      </c>
      <c r="O53" s="44">
        <v>2</v>
      </c>
      <c r="P53" s="44">
        <v>3</v>
      </c>
      <c r="Q53" s="45">
        <v>0</v>
      </c>
    </row>
    <row r="54" spans="1:17" s="2" customFormat="1" ht="24" customHeight="1" x14ac:dyDescent="0.25">
      <c r="A54" s="6"/>
      <c r="B54" s="185" t="s">
        <v>141</v>
      </c>
      <c r="C54" s="1119"/>
      <c r="D54" s="1120"/>
      <c r="E54" s="69"/>
      <c r="F54" s="43">
        <v>2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1</v>
      </c>
      <c r="O54" s="44">
        <v>0</v>
      </c>
      <c r="P54" s="44">
        <v>2</v>
      </c>
      <c r="Q54" s="45">
        <v>0</v>
      </c>
    </row>
    <row r="55" spans="1:17" s="2" customFormat="1" ht="24" customHeight="1" x14ac:dyDescent="0.25">
      <c r="A55" s="6"/>
      <c r="B55" s="70" t="s">
        <v>149</v>
      </c>
      <c r="C55" s="1119"/>
      <c r="D55" s="1120"/>
      <c r="E55" s="290"/>
      <c r="F55" s="195">
        <v>4</v>
      </c>
      <c r="G55" s="195">
        <v>9</v>
      </c>
      <c r="H55" s="195">
        <v>9</v>
      </c>
      <c r="I55" s="195">
        <v>11</v>
      </c>
      <c r="J55" s="195">
        <v>11</v>
      </c>
      <c r="K55" s="195">
        <v>8</v>
      </c>
      <c r="L55" s="195">
        <v>16</v>
      </c>
      <c r="M55" s="195">
        <v>15</v>
      </c>
      <c r="N55" s="195">
        <v>13</v>
      </c>
      <c r="O55" s="195">
        <v>18</v>
      </c>
      <c r="P55" s="195">
        <v>20</v>
      </c>
      <c r="Q55" s="202">
        <v>18</v>
      </c>
    </row>
    <row r="56" spans="1:17" s="2" customFormat="1" ht="24" customHeight="1" x14ac:dyDescent="0.25">
      <c r="A56" s="6"/>
      <c r="B56" s="71" t="s">
        <v>37</v>
      </c>
      <c r="C56" s="291">
        <v>0</v>
      </c>
      <c r="D56" s="292">
        <v>0</v>
      </c>
      <c r="E56" s="166">
        <f>SUM(F56:Q56)</f>
        <v>57</v>
      </c>
      <c r="F56" s="30">
        <v>0</v>
      </c>
      <c r="G56" s="31">
        <v>13</v>
      </c>
      <c r="H56" s="31">
        <v>0</v>
      </c>
      <c r="I56" s="31">
        <v>11</v>
      </c>
      <c r="J56" s="31">
        <v>0</v>
      </c>
      <c r="K56" s="31">
        <v>0</v>
      </c>
      <c r="L56" s="31">
        <v>0</v>
      </c>
      <c r="M56" s="31">
        <v>14</v>
      </c>
      <c r="N56" s="31">
        <v>7</v>
      </c>
      <c r="O56" s="31">
        <v>3</v>
      </c>
      <c r="P56" s="31">
        <v>9</v>
      </c>
      <c r="Q56" s="32">
        <v>0</v>
      </c>
    </row>
    <row r="57" spans="1:17" x14ac:dyDescent="0.3">
      <c r="A57" s="5"/>
      <c r="B57" s="1116" t="s">
        <v>39</v>
      </c>
      <c r="C57" s="1117"/>
      <c r="D57" s="1117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7"/>
      <c r="P57" s="1117"/>
      <c r="Q57" s="1118"/>
    </row>
    <row r="58" spans="1:17" s="2" customFormat="1" ht="24" customHeight="1" x14ac:dyDescent="0.25">
      <c r="A58" s="6"/>
      <c r="B58" s="72" t="s">
        <v>67</v>
      </c>
      <c r="C58" s="73">
        <v>177</v>
      </c>
      <c r="D58" s="40">
        <v>195</v>
      </c>
      <c r="E58" s="159">
        <f t="shared" ref="E58:E63" si="3">SUM(F58:Q58)</f>
        <v>403</v>
      </c>
      <c r="F58" s="74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107</v>
      </c>
      <c r="Q58" s="76">
        <v>296</v>
      </c>
    </row>
    <row r="59" spans="1:17" s="2" customFormat="1" ht="24" customHeight="1" x14ac:dyDescent="0.25">
      <c r="A59" s="6"/>
      <c r="B59" s="185" t="s">
        <v>68</v>
      </c>
      <c r="C59" s="77">
        <v>177</v>
      </c>
      <c r="D59" s="42">
        <v>174</v>
      </c>
      <c r="E59" s="163">
        <f t="shared" si="3"/>
        <v>379</v>
      </c>
      <c r="F59" s="78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96</v>
      </c>
      <c r="Q59" s="80">
        <v>283</v>
      </c>
    </row>
    <row r="60" spans="1:17" s="2" customFormat="1" ht="24" customHeight="1" x14ac:dyDescent="0.25">
      <c r="A60" s="6"/>
      <c r="B60" s="70" t="s">
        <v>42</v>
      </c>
      <c r="C60" s="77">
        <v>808</v>
      </c>
      <c r="D60" s="42">
        <v>749</v>
      </c>
      <c r="E60" s="163">
        <f t="shared" si="3"/>
        <v>1895</v>
      </c>
      <c r="F60" s="78">
        <v>0</v>
      </c>
      <c r="G60" s="79">
        <v>0</v>
      </c>
      <c r="H60" s="79">
        <v>242</v>
      </c>
      <c r="I60" s="79">
        <v>569</v>
      </c>
      <c r="J60" s="79">
        <v>521</v>
      </c>
      <c r="K60" s="79">
        <v>563</v>
      </c>
      <c r="L60" s="79">
        <v>0</v>
      </c>
      <c r="M60" s="79">
        <v>0</v>
      </c>
      <c r="N60" s="79">
        <v>0</v>
      </c>
      <c r="O60" s="79">
        <v>0</v>
      </c>
      <c r="P60" s="79">
        <v>0</v>
      </c>
      <c r="Q60" s="80">
        <v>0</v>
      </c>
    </row>
    <row r="61" spans="1:17" s="2" customFormat="1" ht="24" customHeight="1" x14ac:dyDescent="0.25">
      <c r="A61" s="6"/>
      <c r="B61" s="185" t="s">
        <v>156</v>
      </c>
      <c r="C61" s="77">
        <v>623</v>
      </c>
      <c r="D61" s="42">
        <v>679</v>
      </c>
      <c r="E61" s="163">
        <f t="shared" si="3"/>
        <v>1758</v>
      </c>
      <c r="F61" s="78">
        <v>0</v>
      </c>
      <c r="G61" s="79">
        <v>0</v>
      </c>
      <c r="H61" s="79">
        <v>105</v>
      </c>
      <c r="I61" s="79">
        <v>569</v>
      </c>
      <c r="J61" s="79">
        <v>521</v>
      </c>
      <c r="K61" s="79">
        <v>563</v>
      </c>
      <c r="L61" s="79">
        <v>0</v>
      </c>
      <c r="M61" s="79">
        <v>0</v>
      </c>
      <c r="N61" s="79">
        <v>0</v>
      </c>
      <c r="O61" s="79">
        <v>0</v>
      </c>
      <c r="P61" s="79">
        <v>0</v>
      </c>
      <c r="Q61" s="80">
        <v>0</v>
      </c>
    </row>
    <row r="62" spans="1:17" s="2" customFormat="1" ht="24" customHeight="1" x14ac:dyDescent="0.25">
      <c r="A62" s="6"/>
      <c r="B62" s="70" t="s">
        <v>41</v>
      </c>
      <c r="C62" s="77">
        <v>1145</v>
      </c>
      <c r="D62" s="42">
        <v>1265</v>
      </c>
      <c r="E62" s="163">
        <f t="shared" si="3"/>
        <v>3325</v>
      </c>
      <c r="F62" s="78">
        <v>0</v>
      </c>
      <c r="G62" s="79">
        <v>0</v>
      </c>
      <c r="H62" s="79">
        <v>296</v>
      </c>
      <c r="I62" s="79">
        <v>1006</v>
      </c>
      <c r="J62" s="79">
        <v>983</v>
      </c>
      <c r="K62" s="79">
        <v>1040</v>
      </c>
      <c r="L62" s="79">
        <v>0</v>
      </c>
      <c r="M62" s="79">
        <v>0</v>
      </c>
      <c r="N62" s="79">
        <v>0</v>
      </c>
      <c r="O62" s="79">
        <v>0</v>
      </c>
      <c r="P62" s="79">
        <v>0</v>
      </c>
      <c r="Q62" s="80">
        <v>0</v>
      </c>
    </row>
    <row r="63" spans="1:17" s="2" customFormat="1" ht="24" customHeight="1" x14ac:dyDescent="0.25">
      <c r="A63" s="6"/>
      <c r="B63" s="189" t="s">
        <v>157</v>
      </c>
      <c r="C63" s="119">
        <v>1108</v>
      </c>
      <c r="D63" s="355">
        <v>1166</v>
      </c>
      <c r="E63" s="356">
        <f t="shared" si="3"/>
        <v>3197</v>
      </c>
      <c r="F63" s="357">
        <v>0</v>
      </c>
      <c r="G63" s="122">
        <v>0</v>
      </c>
      <c r="H63" s="122">
        <v>170</v>
      </c>
      <c r="I63" s="122">
        <v>1004</v>
      </c>
      <c r="J63" s="122">
        <v>983</v>
      </c>
      <c r="K63" s="122">
        <v>1040</v>
      </c>
      <c r="L63" s="122">
        <v>0</v>
      </c>
      <c r="M63" s="122">
        <v>0</v>
      </c>
      <c r="N63" s="122">
        <v>0</v>
      </c>
      <c r="O63" s="122">
        <v>0</v>
      </c>
      <c r="P63" s="122">
        <v>0</v>
      </c>
      <c r="Q63" s="123">
        <v>0</v>
      </c>
    </row>
    <row r="64" spans="1:17" ht="24" customHeight="1" x14ac:dyDescent="0.3">
      <c r="A64" s="5"/>
      <c r="B64" s="1112" t="s">
        <v>240</v>
      </c>
      <c r="C64" s="1113"/>
      <c r="D64" s="1113"/>
      <c r="E64" s="1113"/>
      <c r="F64" s="1113"/>
      <c r="G64" s="1113"/>
      <c r="H64" s="1113"/>
      <c r="I64" s="1113"/>
      <c r="J64" s="1113"/>
      <c r="K64" s="1113"/>
      <c r="L64" s="1113"/>
      <c r="M64" s="1113"/>
      <c r="N64" s="1113"/>
      <c r="O64" s="1113"/>
      <c r="P64" s="1113"/>
      <c r="Q64" s="1114"/>
    </row>
    <row r="65" spans="1:18" s="2" customFormat="1" ht="24" customHeight="1" x14ac:dyDescent="0.25">
      <c r="A65" s="6"/>
      <c r="B65" s="21" t="s">
        <v>241</v>
      </c>
      <c r="C65" s="261"/>
      <c r="D65" s="428"/>
      <c r="E65" s="429">
        <f t="shared" ref="E65:E72" si="4">SUM(F65:Q65)</f>
        <v>2339902.3400000003</v>
      </c>
      <c r="F65" s="421">
        <f>201654.84-4242.64</f>
        <v>197412.19999999998</v>
      </c>
      <c r="G65" s="430">
        <f>182414.36-3722.79</f>
        <v>178691.56999999998</v>
      </c>
      <c r="H65" s="422">
        <f>190956.34-1489.05</f>
        <v>189467.29</v>
      </c>
      <c r="I65" s="422">
        <f>192256.24-2736.88</f>
        <v>189519.35999999999</v>
      </c>
      <c r="J65" s="422">
        <f>293559.72-83114-828.44</f>
        <v>209617.27999999997</v>
      </c>
      <c r="K65" s="422">
        <f>197493.74-1174.41</f>
        <v>196319.33</v>
      </c>
      <c r="L65" s="422">
        <f>197051.34-4642.55</f>
        <v>192408.79</v>
      </c>
      <c r="M65" s="422">
        <f>192150.35-1023</f>
        <v>191127.35</v>
      </c>
      <c r="N65" s="468">
        <f>193431.37-880.27</f>
        <v>192551.1</v>
      </c>
      <c r="O65" s="422">
        <f>204614.75-7124.73</f>
        <v>197490.02</v>
      </c>
      <c r="P65" s="422">
        <f>207881.2-6738.76</f>
        <v>201142.44</v>
      </c>
      <c r="Q65" s="431">
        <f>209151.43-4995.82</f>
        <v>204155.61</v>
      </c>
    </row>
    <row r="66" spans="1:18" s="2" customFormat="1" ht="24" customHeight="1" x14ac:dyDescent="0.25">
      <c r="A66" s="6"/>
      <c r="B66" s="46" t="s">
        <v>242</v>
      </c>
      <c r="C66" s="261"/>
      <c r="D66" s="428"/>
      <c r="E66" s="432">
        <f t="shared" si="4"/>
        <v>30567.34</v>
      </c>
      <c r="F66" s="423">
        <v>2228.5300000000002</v>
      </c>
      <c r="G66" s="430">
        <v>2289.14</v>
      </c>
      <c r="H66" s="424">
        <v>2434.44</v>
      </c>
      <c r="I66" s="424">
        <v>2433.0700000000002</v>
      </c>
      <c r="J66" s="424">
        <v>3403.28</v>
      </c>
      <c r="K66" s="424">
        <v>2532.67</v>
      </c>
      <c r="L66" s="424">
        <v>2540.98</v>
      </c>
      <c r="M66" s="424">
        <v>2472.6999999999998</v>
      </c>
      <c r="N66" s="422">
        <v>2430.15</v>
      </c>
      <c r="O66" s="424">
        <v>2522.7800000000002</v>
      </c>
      <c r="P66" s="424">
        <v>2666.85</v>
      </c>
      <c r="Q66" s="431">
        <v>2612.75</v>
      </c>
    </row>
    <row r="67" spans="1:18" s="2" customFormat="1" ht="24" customHeight="1" x14ac:dyDescent="0.25">
      <c r="A67" s="6"/>
      <c r="B67" s="46" t="s">
        <v>243</v>
      </c>
      <c r="C67" s="261"/>
      <c r="D67" s="428"/>
      <c r="E67" s="433">
        <f t="shared" si="4"/>
        <v>95186.74</v>
      </c>
      <c r="F67" s="423">
        <f>9100+11010</f>
        <v>20110</v>
      </c>
      <c r="G67" s="424">
        <v>1250</v>
      </c>
      <c r="H67" s="424">
        <v>1010.04</v>
      </c>
      <c r="I67" s="424">
        <f>12010+11150</f>
        <v>23160</v>
      </c>
      <c r="J67" s="424">
        <v>1390</v>
      </c>
      <c r="K67" s="424">
        <v>0</v>
      </c>
      <c r="L67" s="424">
        <f>12650+10270</f>
        <v>22920</v>
      </c>
      <c r="M67" s="424">
        <v>540</v>
      </c>
      <c r="N67" s="424">
        <v>380</v>
      </c>
      <c r="O67" s="424">
        <f>12790+9050</f>
        <v>21840</v>
      </c>
      <c r="P67" s="424">
        <v>2055.08</v>
      </c>
      <c r="Q67" s="431">
        <v>531.62</v>
      </c>
    </row>
    <row r="68" spans="1:18" s="2" customFormat="1" ht="24" customHeight="1" x14ac:dyDescent="0.25">
      <c r="A68" s="6"/>
      <c r="B68" s="27" t="s">
        <v>244</v>
      </c>
      <c r="C68" s="261"/>
      <c r="D68" s="428"/>
      <c r="E68" s="432">
        <f t="shared" si="4"/>
        <v>20869.210000000003</v>
      </c>
      <c r="F68" s="425">
        <v>2120</v>
      </c>
      <c r="G68" s="426">
        <v>280</v>
      </c>
      <c r="H68" s="434">
        <v>368</v>
      </c>
      <c r="I68" s="434">
        <v>211.98</v>
      </c>
      <c r="J68" s="434">
        <v>3575.08</v>
      </c>
      <c r="K68" s="434">
        <v>27.68</v>
      </c>
      <c r="L68" s="426">
        <v>175</v>
      </c>
      <c r="M68" s="426">
        <v>990</v>
      </c>
      <c r="N68" s="426">
        <v>565</v>
      </c>
      <c r="O68" s="426">
        <v>1704.77</v>
      </c>
      <c r="P68" s="426">
        <v>7850</v>
      </c>
      <c r="Q68" s="435">
        <v>3001.7</v>
      </c>
    </row>
    <row r="69" spans="1:18" s="2" customFormat="1" ht="24" customHeight="1" x14ac:dyDescent="0.25">
      <c r="A69" s="6"/>
      <c r="B69" s="21" t="s">
        <v>245</v>
      </c>
      <c r="C69" s="1119"/>
      <c r="D69" s="1120"/>
      <c r="E69" s="432">
        <f t="shared" si="4"/>
        <v>104986.89</v>
      </c>
      <c r="F69" s="421">
        <v>7941.5</v>
      </c>
      <c r="G69" s="422">
        <v>2689</v>
      </c>
      <c r="H69" s="422">
        <f>4957.52+416.88</f>
        <v>5374.4000000000005</v>
      </c>
      <c r="I69" s="422">
        <f>593.46+1592</f>
        <v>2185.46</v>
      </c>
      <c r="J69" s="422">
        <v>5545.92</v>
      </c>
      <c r="K69" s="422">
        <f>4734.65+715</f>
        <v>5449.65</v>
      </c>
      <c r="L69" s="422">
        <f>6168.52+1081.08</f>
        <v>7249.6</v>
      </c>
      <c r="M69" s="422">
        <f>1271.16+1992.8</f>
        <v>3263.96</v>
      </c>
      <c r="N69" s="422">
        <f>4975.53+382.32</f>
        <v>5357.8499999999995</v>
      </c>
      <c r="O69" s="422">
        <f>4604.8 +1015.2</f>
        <v>5620</v>
      </c>
      <c r="P69" s="422">
        <f>25646.31+1289.52</f>
        <v>26935.83</v>
      </c>
      <c r="Q69" s="436">
        <f>26819.14+554.58</f>
        <v>27373.72</v>
      </c>
    </row>
    <row r="70" spans="1:18" s="2" customFormat="1" ht="24" customHeight="1" x14ac:dyDescent="0.25">
      <c r="A70" s="6"/>
      <c r="B70" s="46" t="s">
        <v>246</v>
      </c>
      <c r="C70" s="1119"/>
      <c r="D70" s="1120"/>
      <c r="E70" s="432">
        <f t="shared" si="4"/>
        <v>28354.489999999998</v>
      </c>
      <c r="F70" s="423">
        <v>1598.8</v>
      </c>
      <c r="G70" s="424">
        <v>4116.8</v>
      </c>
      <c r="H70" s="424">
        <v>2664.2</v>
      </c>
      <c r="I70" s="424">
        <v>1895</v>
      </c>
      <c r="J70" s="424">
        <v>500</v>
      </c>
      <c r="K70" s="424">
        <v>1005</v>
      </c>
      <c r="L70" s="424">
        <v>3870.13</v>
      </c>
      <c r="M70" s="424">
        <v>5842.06</v>
      </c>
      <c r="N70" s="424">
        <v>1239.55</v>
      </c>
      <c r="O70" s="424">
        <v>1986.6</v>
      </c>
      <c r="P70" s="424">
        <v>2286.35</v>
      </c>
      <c r="Q70" s="437">
        <v>1350</v>
      </c>
    </row>
    <row r="71" spans="1:18" s="2" customFormat="1" ht="24" customHeight="1" x14ac:dyDescent="0.25">
      <c r="A71" s="6"/>
      <c r="B71" s="46" t="s">
        <v>247</v>
      </c>
      <c r="C71" s="1119"/>
      <c r="D71" s="1120"/>
      <c r="E71" s="432">
        <f t="shared" si="4"/>
        <v>41756.659999999996</v>
      </c>
      <c r="F71" s="423">
        <v>65.47</v>
      </c>
      <c r="G71" s="424">
        <v>3703.03</v>
      </c>
      <c r="H71" s="424">
        <v>1424</v>
      </c>
      <c r="I71" s="424">
        <v>94.19</v>
      </c>
      <c r="J71" s="424">
        <v>6382</v>
      </c>
      <c r="K71" s="424">
        <v>13440.3</v>
      </c>
      <c r="L71" s="424">
        <v>3970.52</v>
      </c>
      <c r="M71" s="424">
        <v>3967.02</v>
      </c>
      <c r="N71" s="424">
        <v>1760.99</v>
      </c>
      <c r="O71" s="424">
        <v>4194.83</v>
      </c>
      <c r="P71" s="424">
        <v>1803</v>
      </c>
      <c r="Q71" s="437">
        <v>951.31</v>
      </c>
    </row>
    <row r="72" spans="1:18" s="2" customFormat="1" ht="24" customHeight="1" x14ac:dyDescent="0.25">
      <c r="A72" s="6"/>
      <c r="B72" s="442" t="s">
        <v>248</v>
      </c>
      <c r="C72" s="264"/>
      <c r="D72" s="265"/>
      <c r="E72" s="438">
        <f t="shared" si="4"/>
        <v>16916.340000000004</v>
      </c>
      <c r="F72" s="445">
        <v>880.84</v>
      </c>
      <c r="G72" s="446">
        <v>1201</v>
      </c>
      <c r="H72" s="446">
        <v>1336.36</v>
      </c>
      <c r="I72" s="446">
        <v>0</v>
      </c>
      <c r="J72" s="446">
        <v>120.72</v>
      </c>
      <c r="K72" s="446">
        <v>12752.37</v>
      </c>
      <c r="L72" s="446">
        <v>43.69</v>
      </c>
      <c r="M72" s="446">
        <v>43.69</v>
      </c>
      <c r="N72" s="446">
        <v>150.9</v>
      </c>
      <c r="O72" s="446">
        <v>0</v>
      </c>
      <c r="P72" s="446">
        <v>0</v>
      </c>
      <c r="Q72" s="447">
        <v>386.77</v>
      </c>
    </row>
    <row r="73" spans="1:18" s="2" customFormat="1" ht="24" customHeight="1" x14ac:dyDescent="0.25">
      <c r="A73" s="6"/>
      <c r="B73" s="443" t="s">
        <v>249</v>
      </c>
      <c r="C73" s="264"/>
      <c r="D73" s="265"/>
      <c r="E73" s="441">
        <f>SUM(E65:E72)</f>
        <v>2678540.0100000007</v>
      </c>
      <c r="F73" s="448">
        <f>SUM(F65:F72)</f>
        <v>232357.33999999997</v>
      </c>
      <c r="G73" s="449">
        <f>SUM(G65:G72)</f>
        <v>194220.53999999998</v>
      </c>
      <c r="H73" s="453">
        <f t="shared" ref="H73:M73" si="5">SUM(H65:H72)</f>
        <v>204078.73</v>
      </c>
      <c r="I73" s="449">
        <f t="shared" si="5"/>
        <v>219499.06</v>
      </c>
      <c r="J73" s="449">
        <f t="shared" si="5"/>
        <v>230534.27999999997</v>
      </c>
      <c r="K73" s="449">
        <f t="shared" si="5"/>
        <v>231526.99999999997</v>
      </c>
      <c r="L73" s="449">
        <f t="shared" si="5"/>
        <v>233178.71000000002</v>
      </c>
      <c r="M73" s="449">
        <f t="shared" si="5"/>
        <v>208246.78</v>
      </c>
      <c r="N73" s="449">
        <f>SUM(N65:N72)</f>
        <v>204435.53999999998</v>
      </c>
      <c r="O73" s="453">
        <f>SUM(O65:O72)</f>
        <v>235358.99999999997</v>
      </c>
      <c r="P73" s="449">
        <f>SUM(P65:P72)</f>
        <v>244739.55000000002</v>
      </c>
      <c r="Q73" s="477">
        <f>SUM(Q65:Q72)</f>
        <v>240363.47999999998</v>
      </c>
      <c r="R73" s="440"/>
    </row>
    <row r="74" spans="1:18" s="2" customFormat="1" ht="24" customHeight="1" x14ac:dyDescent="0.25">
      <c r="A74" s="6"/>
      <c r="B74" s="444" t="s">
        <v>250</v>
      </c>
      <c r="C74" s="262"/>
      <c r="D74" s="282"/>
      <c r="E74" s="439">
        <f>SUM(F74:Q74)</f>
        <v>99437.709999999992</v>
      </c>
      <c r="F74" s="450" t="s">
        <v>136</v>
      </c>
      <c r="G74" s="451" t="s">
        <v>136</v>
      </c>
      <c r="H74" s="451">
        <v>10737.88</v>
      </c>
      <c r="I74" s="451">
        <v>13703.48</v>
      </c>
      <c r="J74" s="451">
        <v>14050.6</v>
      </c>
      <c r="K74" s="451">
        <v>19173.02</v>
      </c>
      <c r="L74" s="451">
        <f>6062+320+3666.76+43.69</f>
        <v>10092.450000000001</v>
      </c>
      <c r="M74" s="451">
        <f>4507.45+3592.02+320+43.69</f>
        <v>8463.16</v>
      </c>
      <c r="N74" s="451">
        <f>4056.7+689.99</f>
        <v>4746.6899999999996</v>
      </c>
      <c r="O74" s="451">
        <f>5297.4+320+2780.63</f>
        <v>8398.0299999999988</v>
      </c>
      <c r="P74" s="451">
        <v>2728</v>
      </c>
      <c r="Q74" s="452">
        <f>2640+2657.4+1690+117+240</f>
        <v>7344.4</v>
      </c>
    </row>
    <row r="75" spans="1:18" ht="24" customHeight="1" x14ac:dyDescent="0.3">
      <c r="A75" s="5"/>
      <c r="B75" s="1121" t="s">
        <v>43</v>
      </c>
      <c r="C75" s="1122"/>
      <c r="D75" s="1122"/>
      <c r="E75" s="1122"/>
      <c r="F75" s="1122"/>
      <c r="G75" s="1122"/>
      <c r="H75" s="1122"/>
      <c r="I75" s="1122"/>
      <c r="J75" s="1122"/>
      <c r="K75" s="1122"/>
      <c r="L75" s="1122"/>
      <c r="M75" s="1122"/>
      <c r="N75" s="1122"/>
      <c r="O75" s="1122"/>
      <c r="P75" s="1122"/>
      <c r="Q75" s="1123"/>
    </row>
    <row r="76" spans="1:18" ht="24" customHeight="1" x14ac:dyDescent="0.3">
      <c r="A76" s="5"/>
      <c r="B76" s="1116" t="s">
        <v>44</v>
      </c>
      <c r="C76" s="1117"/>
      <c r="D76" s="1117"/>
      <c r="E76" s="1117"/>
      <c r="F76" s="1117"/>
      <c r="G76" s="1117"/>
      <c r="H76" s="1117"/>
      <c r="I76" s="1117"/>
      <c r="J76" s="1117"/>
      <c r="K76" s="1117"/>
      <c r="L76" s="1117"/>
      <c r="M76" s="1117"/>
      <c r="N76" s="1117"/>
      <c r="O76" s="1117"/>
      <c r="P76" s="1117"/>
      <c r="Q76" s="1118"/>
    </row>
    <row r="77" spans="1:18" s="2" customFormat="1" ht="24" customHeight="1" x14ac:dyDescent="0.25">
      <c r="A77" s="6"/>
      <c r="B77" s="72" t="s">
        <v>45</v>
      </c>
      <c r="C77" s="291">
        <v>243</v>
      </c>
      <c r="D77" s="292">
        <v>372</v>
      </c>
      <c r="E77" s="161">
        <f>SUM(F77:Q77)</f>
        <v>475</v>
      </c>
      <c r="F77" s="24">
        <v>14</v>
      </c>
      <c r="G77" s="25">
        <v>17</v>
      </c>
      <c r="H77" s="25">
        <v>68</v>
      </c>
      <c r="I77" s="25">
        <v>37</v>
      </c>
      <c r="J77" s="25">
        <v>47</v>
      </c>
      <c r="K77" s="25">
        <v>32</v>
      </c>
      <c r="L77" s="25">
        <v>32</v>
      </c>
      <c r="M77" s="25">
        <v>44</v>
      </c>
      <c r="N77" s="25">
        <v>55</v>
      </c>
      <c r="O77" s="25">
        <v>31</v>
      </c>
      <c r="P77" s="25">
        <v>56</v>
      </c>
      <c r="Q77" s="26">
        <v>42</v>
      </c>
    </row>
    <row r="78" spans="1:18" s="2" customFormat="1" ht="24" customHeight="1" x14ac:dyDescent="0.25">
      <c r="A78" s="6"/>
      <c r="B78" s="70" t="s">
        <v>49</v>
      </c>
      <c r="C78" s="1119"/>
      <c r="D78" s="1120"/>
      <c r="E78" s="162">
        <f>SUM(F78:Q78)</f>
        <v>21</v>
      </c>
      <c r="F78" s="43">
        <v>4</v>
      </c>
      <c r="G78" s="44">
        <v>3</v>
      </c>
      <c r="H78" s="44">
        <v>2</v>
      </c>
      <c r="I78" s="44">
        <v>0</v>
      </c>
      <c r="J78" s="44">
        <v>2</v>
      </c>
      <c r="K78" s="44">
        <v>1</v>
      </c>
      <c r="L78" s="44">
        <v>3</v>
      </c>
      <c r="M78" s="44">
        <v>0</v>
      </c>
      <c r="N78" s="44">
        <v>4</v>
      </c>
      <c r="O78" s="44">
        <v>1</v>
      </c>
      <c r="P78" s="44">
        <v>1</v>
      </c>
      <c r="Q78" s="45">
        <v>0</v>
      </c>
    </row>
    <row r="79" spans="1:18" s="2" customFormat="1" ht="24" customHeight="1" x14ac:dyDescent="0.25">
      <c r="A79" s="6"/>
      <c r="B79" s="70" t="s">
        <v>46</v>
      </c>
      <c r="C79" s="1119"/>
      <c r="D79" s="1120"/>
      <c r="E79" s="164">
        <v>60</v>
      </c>
      <c r="F79" s="195">
        <v>64</v>
      </c>
      <c r="G79" s="195">
        <v>60</v>
      </c>
      <c r="H79" s="195">
        <v>20</v>
      </c>
      <c r="I79" s="195">
        <v>21</v>
      </c>
      <c r="J79" s="195">
        <v>34</v>
      </c>
      <c r="K79" s="195">
        <v>25</v>
      </c>
      <c r="L79" s="44">
        <v>16</v>
      </c>
      <c r="M79" s="237">
        <v>21</v>
      </c>
      <c r="N79" s="79">
        <v>16</v>
      </c>
      <c r="O79" s="79">
        <v>33</v>
      </c>
      <c r="P79" s="79">
        <v>30</v>
      </c>
      <c r="Q79" s="80">
        <v>46</v>
      </c>
    </row>
    <row r="80" spans="1:18" s="2" customFormat="1" ht="24" customHeight="1" x14ac:dyDescent="0.25">
      <c r="A80" s="6"/>
      <c r="B80" s="185" t="s">
        <v>47</v>
      </c>
      <c r="C80" s="1119"/>
      <c r="D80" s="1120"/>
      <c r="E80" s="69"/>
      <c r="F80" s="195">
        <v>14</v>
      </c>
      <c r="G80" s="195">
        <v>17</v>
      </c>
      <c r="H80" s="195">
        <v>26</v>
      </c>
      <c r="I80" s="195">
        <v>17</v>
      </c>
      <c r="J80" s="195">
        <v>29</v>
      </c>
      <c r="K80" s="195">
        <v>15</v>
      </c>
      <c r="L80" s="240">
        <v>15</v>
      </c>
      <c r="M80" s="240">
        <v>22</v>
      </c>
      <c r="N80" s="79">
        <v>24</v>
      </c>
      <c r="O80" s="79">
        <v>20</v>
      </c>
      <c r="P80" s="79">
        <v>24</v>
      </c>
      <c r="Q80" s="202">
        <v>18</v>
      </c>
    </row>
    <row r="81" spans="1:17" s="2" customFormat="1" ht="24" customHeight="1" x14ac:dyDescent="0.25">
      <c r="A81" s="6"/>
      <c r="B81" s="188" t="s">
        <v>48</v>
      </c>
      <c r="C81" s="1119"/>
      <c r="D81" s="1120"/>
      <c r="E81" s="69"/>
      <c r="F81" s="195">
        <v>-11</v>
      </c>
      <c r="G81" s="195">
        <v>-4</v>
      </c>
      <c r="H81" s="195">
        <v>17</v>
      </c>
      <c r="I81" s="195">
        <v>17</v>
      </c>
      <c r="J81" s="195">
        <v>17</v>
      </c>
      <c r="K81" s="195">
        <v>19</v>
      </c>
      <c r="L81" s="240">
        <v>18</v>
      </c>
      <c r="M81" s="240">
        <v>13</v>
      </c>
      <c r="N81" s="240">
        <v>21</v>
      </c>
      <c r="O81" s="37">
        <v>23</v>
      </c>
      <c r="P81" s="240">
        <v>19</v>
      </c>
      <c r="Q81" s="243">
        <v>20</v>
      </c>
    </row>
    <row r="82" spans="1:17" ht="24" customHeight="1" x14ac:dyDescent="0.3">
      <c r="A82" s="5"/>
      <c r="B82" s="1116" t="s">
        <v>50</v>
      </c>
      <c r="C82" s="1117"/>
      <c r="D82" s="1117"/>
      <c r="E82" s="1117"/>
      <c r="F82" s="1117"/>
      <c r="G82" s="1117"/>
      <c r="H82" s="1117"/>
      <c r="I82" s="1117"/>
      <c r="J82" s="1117"/>
      <c r="K82" s="1117"/>
      <c r="L82" s="1117"/>
      <c r="M82" s="1117"/>
      <c r="N82" s="1117"/>
      <c r="O82" s="1117"/>
      <c r="P82" s="1117"/>
      <c r="Q82" s="1118"/>
    </row>
    <row r="83" spans="1:17" s="2" customFormat="1" ht="24" customHeight="1" x14ac:dyDescent="0.25">
      <c r="A83" s="6"/>
      <c r="B83" s="72" t="s">
        <v>51</v>
      </c>
      <c r="C83" s="1119"/>
      <c r="D83" s="1120"/>
      <c r="E83" s="166">
        <v>79</v>
      </c>
      <c r="F83" s="24">
        <v>77</v>
      </c>
      <c r="G83" s="222">
        <v>79</v>
      </c>
      <c r="H83" s="222">
        <v>81</v>
      </c>
      <c r="I83" s="222">
        <v>79</v>
      </c>
      <c r="J83" s="222">
        <v>75</v>
      </c>
      <c r="K83" s="222">
        <v>77</v>
      </c>
      <c r="L83" s="222">
        <v>76</v>
      </c>
      <c r="M83" s="222">
        <v>75</v>
      </c>
      <c r="N83" s="222">
        <v>74</v>
      </c>
      <c r="O83" s="222">
        <v>75</v>
      </c>
      <c r="P83" s="222">
        <v>92</v>
      </c>
      <c r="Q83" s="267">
        <v>92</v>
      </c>
    </row>
    <row r="84" spans="1:17" s="2" customFormat="1" ht="24" customHeight="1" x14ac:dyDescent="0.25">
      <c r="A84" s="6"/>
      <c r="B84" s="185" t="s">
        <v>32</v>
      </c>
      <c r="C84" s="1119"/>
      <c r="D84" s="1120"/>
      <c r="E84" s="69"/>
      <c r="F84" s="43">
        <v>0</v>
      </c>
      <c r="G84" s="236">
        <v>2</v>
      </c>
      <c r="H84" s="44">
        <v>1</v>
      </c>
      <c r="I84" s="44">
        <v>0</v>
      </c>
      <c r="J84" s="44">
        <v>2</v>
      </c>
      <c r="K84" s="44">
        <v>2</v>
      </c>
      <c r="L84" s="44">
        <v>0</v>
      </c>
      <c r="M84" s="256">
        <v>1</v>
      </c>
      <c r="N84" s="44">
        <v>0</v>
      </c>
      <c r="O84" s="256">
        <v>3</v>
      </c>
      <c r="P84" s="256">
        <v>0</v>
      </c>
      <c r="Q84" s="202">
        <v>3</v>
      </c>
    </row>
    <row r="85" spans="1:17" s="2" customFormat="1" ht="24" customHeight="1" x14ac:dyDescent="0.25">
      <c r="A85" s="6"/>
      <c r="B85" s="248" t="s">
        <v>33</v>
      </c>
      <c r="C85" s="1127"/>
      <c r="D85" s="1128"/>
      <c r="E85" s="83"/>
      <c r="F85" s="66">
        <v>-2</v>
      </c>
      <c r="G85" s="247">
        <v>0</v>
      </c>
      <c r="H85" s="67">
        <v>1</v>
      </c>
      <c r="I85" s="67">
        <v>3</v>
      </c>
      <c r="J85" s="67">
        <v>6</v>
      </c>
      <c r="K85" s="67">
        <v>1</v>
      </c>
      <c r="L85" s="67">
        <v>1</v>
      </c>
      <c r="M85" s="286">
        <v>3</v>
      </c>
      <c r="N85" s="67">
        <v>1</v>
      </c>
      <c r="O85" s="286">
        <v>4</v>
      </c>
      <c r="P85" s="286">
        <v>2</v>
      </c>
      <c r="Q85" s="249">
        <v>3</v>
      </c>
    </row>
    <row r="86" spans="1:17" x14ac:dyDescent="0.3">
      <c r="A86" s="5"/>
      <c r="B86" s="1112" t="s">
        <v>52</v>
      </c>
      <c r="C86" s="1113"/>
      <c r="D86" s="1113"/>
      <c r="E86" s="1113"/>
      <c r="F86" s="1113"/>
      <c r="G86" s="1113"/>
      <c r="H86" s="1113"/>
      <c r="I86" s="1113"/>
      <c r="J86" s="1113"/>
      <c r="K86" s="1113"/>
      <c r="L86" s="1113"/>
      <c r="M86" s="1113"/>
      <c r="N86" s="1113"/>
      <c r="O86" s="1113"/>
      <c r="P86" s="1113"/>
      <c r="Q86" s="1114"/>
    </row>
    <row r="87" spans="1:17" s="2" customFormat="1" ht="24" customHeight="1" x14ac:dyDescent="0.25">
      <c r="A87" s="6"/>
      <c r="B87" s="72" t="s">
        <v>161</v>
      </c>
      <c r="C87" s="264"/>
      <c r="D87" s="265"/>
      <c r="E87" s="166">
        <v>346</v>
      </c>
      <c r="F87" s="24">
        <f>140+206</f>
        <v>346</v>
      </c>
      <c r="G87" s="222">
        <f>201+146</f>
        <v>347</v>
      </c>
      <c r="H87" s="222">
        <v>387</v>
      </c>
      <c r="I87" s="222">
        <v>378</v>
      </c>
      <c r="J87" s="222">
        <v>378</v>
      </c>
      <c r="K87" s="222">
        <v>371</v>
      </c>
      <c r="L87" s="222">
        <v>381</v>
      </c>
      <c r="M87" s="222">
        <v>385</v>
      </c>
      <c r="N87" s="222">
        <v>402</v>
      </c>
      <c r="O87" s="222">
        <v>401</v>
      </c>
      <c r="P87" s="222">
        <v>422</v>
      </c>
      <c r="Q87" s="267">
        <v>412</v>
      </c>
    </row>
    <row r="88" spans="1:17" s="2" customFormat="1" ht="18.75" hidden="1" customHeight="1" x14ac:dyDescent="0.25">
      <c r="A88" s="6"/>
      <c r="B88" s="185" t="s">
        <v>32</v>
      </c>
      <c r="C88" s="264"/>
      <c r="D88" s="265"/>
      <c r="E88" s="69"/>
      <c r="F88" s="43"/>
      <c r="G88" s="254"/>
      <c r="H88" s="256"/>
      <c r="I88" s="44"/>
      <c r="J88" s="44"/>
      <c r="K88" s="44"/>
      <c r="L88" s="44"/>
      <c r="M88" s="44"/>
      <c r="N88" s="256"/>
      <c r="O88" s="44"/>
      <c r="P88" s="256"/>
      <c r="Q88" s="202"/>
    </row>
    <row r="89" spans="1:17" s="2" customFormat="1" ht="18.75" hidden="1" customHeight="1" x14ac:dyDescent="0.25">
      <c r="A89" s="6"/>
      <c r="B89" s="185" t="s">
        <v>33</v>
      </c>
      <c r="C89" s="264"/>
      <c r="D89" s="265"/>
      <c r="E89" s="69"/>
      <c r="F89" s="43"/>
      <c r="G89" s="254"/>
      <c r="H89" s="256"/>
      <c r="I89" s="44"/>
      <c r="J89" s="44"/>
      <c r="K89" s="44"/>
      <c r="L89" s="44"/>
      <c r="M89" s="44"/>
      <c r="N89" s="256"/>
      <c r="O89" s="44"/>
      <c r="P89" s="256"/>
      <c r="Q89" s="202"/>
    </row>
    <row r="90" spans="1:17" s="2" customFormat="1" ht="24" customHeight="1" x14ac:dyDescent="0.25">
      <c r="A90" s="6"/>
      <c r="B90" s="70" t="s">
        <v>158</v>
      </c>
      <c r="C90" s="264"/>
      <c r="D90" s="265"/>
      <c r="E90" s="69"/>
      <c r="F90" s="78">
        <f>125241.24/14.16</f>
        <v>8844.720338983052</v>
      </c>
      <c r="G90" s="79">
        <f>136939.51/14.16</f>
        <v>9670.8693502824863</v>
      </c>
      <c r="H90" s="218">
        <f>123446.88/14.16</f>
        <v>8718</v>
      </c>
      <c r="I90" s="79">
        <f>120027.24/14.16</f>
        <v>8476.5</v>
      </c>
      <c r="J90" s="237">
        <f>120277.45/14.16</f>
        <v>8494.1701977401135</v>
      </c>
      <c r="K90" s="79">
        <f>122756.58/14.16</f>
        <v>8669.25</v>
      </c>
      <c r="L90" s="79">
        <f>116915.58/14.16</f>
        <v>8256.75</v>
      </c>
      <c r="M90" s="79">
        <f>114305.18/14.16</f>
        <v>8072.3997175141239</v>
      </c>
      <c r="N90" s="218">
        <f>136193.17/14.16</f>
        <v>9618.1617231638429</v>
      </c>
      <c r="O90" s="79">
        <f>121675.46/14.16</f>
        <v>8592.8997175141249</v>
      </c>
      <c r="P90" s="218">
        <f>136294.95/14.16</f>
        <v>9625.3495762711864</v>
      </c>
      <c r="Q90" s="80">
        <f>147143.64/14.16</f>
        <v>10391.5</v>
      </c>
    </row>
    <row r="91" spans="1:17" s="2" customFormat="1" ht="24" customHeight="1" x14ac:dyDescent="0.25">
      <c r="A91" s="6"/>
      <c r="B91" s="70" t="s">
        <v>190</v>
      </c>
      <c r="C91" s="264"/>
      <c r="D91" s="265"/>
      <c r="E91" s="166">
        <v>146</v>
      </c>
      <c r="F91" s="43">
        <v>140</v>
      </c>
      <c r="G91" s="44">
        <v>146</v>
      </c>
      <c r="H91" s="256">
        <v>178</v>
      </c>
      <c r="I91" s="44">
        <v>147</v>
      </c>
      <c r="J91" s="44">
        <v>141</v>
      </c>
      <c r="K91" s="44">
        <v>139</v>
      </c>
      <c r="L91" s="44">
        <v>136</v>
      </c>
      <c r="M91" s="44">
        <v>135</v>
      </c>
      <c r="N91" s="256">
        <v>135</v>
      </c>
      <c r="O91" s="44">
        <v>133</v>
      </c>
      <c r="P91" s="256">
        <v>138</v>
      </c>
      <c r="Q91" s="45">
        <v>137</v>
      </c>
    </row>
    <row r="92" spans="1:17" s="2" customFormat="1" ht="24" customHeight="1" x14ac:dyDescent="0.25">
      <c r="A92" s="6"/>
      <c r="B92" s="185" t="s">
        <v>32</v>
      </c>
      <c r="C92" s="264"/>
      <c r="D92" s="265"/>
      <c r="E92" s="69"/>
      <c r="F92" s="43">
        <v>0</v>
      </c>
      <c r="G92" s="44">
        <v>6</v>
      </c>
      <c r="H92" s="256">
        <v>0</v>
      </c>
      <c r="I92" s="44">
        <v>5</v>
      </c>
      <c r="J92" s="44">
        <v>1</v>
      </c>
      <c r="K92" s="44">
        <v>1</v>
      </c>
      <c r="L92" s="44">
        <v>0</v>
      </c>
      <c r="M92" s="44">
        <v>0</v>
      </c>
      <c r="N92" s="256">
        <v>1</v>
      </c>
      <c r="O92" s="44">
        <v>0</v>
      </c>
      <c r="P92" s="256">
        <v>8</v>
      </c>
      <c r="Q92" s="202">
        <v>0</v>
      </c>
    </row>
    <row r="93" spans="1:17" s="2" customFormat="1" ht="24" customHeight="1" x14ac:dyDescent="0.25">
      <c r="A93" s="6"/>
      <c r="B93" s="188" t="s">
        <v>33</v>
      </c>
      <c r="C93" s="264"/>
      <c r="D93" s="265"/>
      <c r="E93" s="69"/>
      <c r="F93" s="30">
        <v>-2</v>
      </c>
      <c r="G93" s="31">
        <v>0</v>
      </c>
      <c r="H93" s="234">
        <v>3</v>
      </c>
      <c r="I93" s="31">
        <v>5</v>
      </c>
      <c r="J93" s="31">
        <v>7</v>
      </c>
      <c r="K93" s="31">
        <v>3</v>
      </c>
      <c r="L93" s="31">
        <v>3</v>
      </c>
      <c r="M93" s="31">
        <v>1</v>
      </c>
      <c r="N93" s="234">
        <v>3</v>
      </c>
      <c r="O93" s="31">
        <v>2</v>
      </c>
      <c r="P93" s="234">
        <v>3</v>
      </c>
      <c r="Q93" s="243">
        <v>1</v>
      </c>
    </row>
    <row r="94" spans="1:17" s="2" customFormat="1" ht="24" customHeight="1" x14ac:dyDescent="0.25">
      <c r="A94" s="6"/>
      <c r="B94" s="70" t="s">
        <v>58</v>
      </c>
      <c r="C94" s="264"/>
      <c r="D94" s="265"/>
      <c r="E94" s="166">
        <v>141</v>
      </c>
      <c r="F94" s="43">
        <v>137</v>
      </c>
      <c r="G94" s="44">
        <v>141</v>
      </c>
      <c r="H94" s="256">
        <v>140</v>
      </c>
      <c r="I94" s="44">
        <v>138</v>
      </c>
      <c r="J94" s="44">
        <v>135</v>
      </c>
      <c r="K94" s="44">
        <v>134</v>
      </c>
      <c r="L94" s="44">
        <v>130</v>
      </c>
      <c r="M94" s="44">
        <v>129</v>
      </c>
      <c r="N94" s="256">
        <v>132</v>
      </c>
      <c r="O94" s="44">
        <v>132</v>
      </c>
      <c r="P94" s="256">
        <v>138</v>
      </c>
      <c r="Q94" s="45">
        <v>137</v>
      </c>
    </row>
    <row r="95" spans="1:17" s="2" customFormat="1" ht="24" hidden="1" customHeight="1" x14ac:dyDescent="0.25">
      <c r="A95" s="6"/>
      <c r="B95" s="185" t="s">
        <v>32</v>
      </c>
      <c r="C95" s="264"/>
      <c r="D95" s="265"/>
      <c r="E95" s="69"/>
      <c r="F95" s="43">
        <v>1</v>
      </c>
      <c r="G95" s="44">
        <v>0</v>
      </c>
      <c r="H95" s="256"/>
      <c r="I95" s="44"/>
      <c r="J95" s="44"/>
      <c r="K95" s="44"/>
      <c r="L95" s="44"/>
      <c r="M95" s="44"/>
      <c r="N95" s="44"/>
      <c r="O95" s="44"/>
      <c r="P95" s="44"/>
      <c r="Q95" s="202"/>
    </row>
    <row r="96" spans="1:17" s="2" customFormat="1" ht="24" hidden="1" customHeight="1" x14ac:dyDescent="0.25">
      <c r="A96" s="6"/>
      <c r="B96" s="188" t="s">
        <v>33</v>
      </c>
      <c r="C96" s="264"/>
      <c r="D96" s="265"/>
      <c r="E96" s="69"/>
      <c r="F96" s="30">
        <v>-2</v>
      </c>
      <c r="G96" s="31">
        <v>-1</v>
      </c>
      <c r="H96" s="234"/>
      <c r="I96" s="31"/>
      <c r="J96" s="31"/>
      <c r="K96" s="31"/>
      <c r="L96" s="31"/>
      <c r="M96" s="31"/>
      <c r="N96" s="31"/>
      <c r="O96" s="31"/>
      <c r="P96" s="31"/>
      <c r="Q96" s="243"/>
    </row>
    <row r="97" spans="1:17" s="2" customFormat="1" ht="17.45" customHeight="1" x14ac:dyDescent="0.25">
      <c r="A97" s="6"/>
      <c r="B97" s="1129" t="s">
        <v>162</v>
      </c>
      <c r="C97" s="1130"/>
      <c r="D97" s="1130"/>
      <c r="E97" s="1130"/>
      <c r="F97" s="1130"/>
      <c r="G97" s="1130"/>
      <c r="H97" s="1130"/>
      <c r="I97" s="1130"/>
      <c r="J97" s="1130"/>
      <c r="K97" s="1130"/>
      <c r="L97" s="1130"/>
      <c r="M97" s="1130"/>
      <c r="N97" s="1130"/>
      <c r="O97" s="1130"/>
      <c r="P97" s="1130"/>
      <c r="Q97" s="1131"/>
    </row>
    <row r="98" spans="1:17" s="2" customFormat="1" ht="36" customHeight="1" x14ac:dyDescent="0.25">
      <c r="A98" s="6"/>
      <c r="B98" s="293" t="s">
        <v>171</v>
      </c>
      <c r="C98" s="264"/>
      <c r="D98" s="282"/>
      <c r="E98" s="166">
        <f>SUM(F98:Q98)</f>
        <v>4715</v>
      </c>
      <c r="F98" s="413">
        <v>402</v>
      </c>
      <c r="G98" s="25">
        <v>396</v>
      </c>
      <c r="H98" s="25">
        <v>387</v>
      </c>
      <c r="I98" s="25">
        <v>378</v>
      </c>
      <c r="J98" s="25">
        <v>378</v>
      </c>
      <c r="K98" s="25">
        <v>371</v>
      </c>
      <c r="L98" s="25">
        <v>381</v>
      </c>
      <c r="M98" s="25">
        <v>385</v>
      </c>
      <c r="N98" s="25">
        <v>402</v>
      </c>
      <c r="O98" s="25">
        <v>401</v>
      </c>
      <c r="P98" s="222">
        <v>422</v>
      </c>
      <c r="Q98" s="202">
        <v>412</v>
      </c>
    </row>
    <row r="99" spans="1:17" s="2" customFormat="1" ht="24" customHeight="1" x14ac:dyDescent="0.25">
      <c r="A99" s="6"/>
      <c r="B99" s="46" t="s">
        <v>172</v>
      </c>
      <c r="C99" s="264"/>
      <c r="D99" s="282"/>
      <c r="E99" s="166">
        <f>SUM(F99:Q99)</f>
        <v>2333</v>
      </c>
      <c r="F99" s="43">
        <v>187</v>
      </c>
      <c r="G99" s="44">
        <v>176</v>
      </c>
      <c r="H99" s="44">
        <v>184</v>
      </c>
      <c r="I99" s="44">
        <v>205</v>
      </c>
      <c r="J99" s="44">
        <v>202</v>
      </c>
      <c r="K99" s="44">
        <v>207</v>
      </c>
      <c r="L99" s="44">
        <v>192</v>
      </c>
      <c r="M99" s="44">
        <v>185</v>
      </c>
      <c r="N99" s="44">
        <v>201</v>
      </c>
      <c r="O99" s="44">
        <v>196</v>
      </c>
      <c r="P99" s="256">
        <v>203</v>
      </c>
      <c r="Q99" s="202">
        <v>195</v>
      </c>
    </row>
    <row r="100" spans="1:17" s="2" customFormat="1" ht="24" customHeight="1" x14ac:dyDescent="0.25">
      <c r="A100" s="6"/>
      <c r="B100" s="46" t="s">
        <v>170</v>
      </c>
      <c r="C100" s="264"/>
      <c r="D100" s="282"/>
      <c r="E100" s="58"/>
      <c r="F100" s="43">
        <v>62</v>
      </c>
      <c r="G100" s="44">
        <f>75+17</f>
        <v>92</v>
      </c>
      <c r="H100" s="44">
        <f>75+10</f>
        <v>85</v>
      </c>
      <c r="I100" s="44">
        <f>54+10</f>
        <v>64</v>
      </c>
      <c r="J100" s="44">
        <f>70+16</f>
        <v>86</v>
      </c>
      <c r="K100" s="44">
        <f>72+14</f>
        <v>86</v>
      </c>
      <c r="L100" s="44">
        <f>103+20</f>
        <v>123</v>
      </c>
      <c r="M100" s="44">
        <v>130</v>
      </c>
      <c r="N100" s="44">
        <v>100</v>
      </c>
      <c r="O100" s="44">
        <v>127</v>
      </c>
      <c r="P100" s="256">
        <v>110</v>
      </c>
      <c r="Q100" s="202">
        <v>106</v>
      </c>
    </row>
    <row r="101" spans="1:17" s="2" customFormat="1" ht="24" hidden="1" customHeight="1" x14ac:dyDescent="0.25">
      <c r="A101" s="6"/>
      <c r="B101" s="185" t="s">
        <v>32</v>
      </c>
      <c r="C101" s="264"/>
      <c r="D101" s="282"/>
      <c r="E101" s="69"/>
      <c r="F101" s="43">
        <v>13</v>
      </c>
      <c r="G101" s="44"/>
      <c r="H101" s="44"/>
      <c r="I101" s="44"/>
      <c r="J101" s="44"/>
      <c r="K101" s="44"/>
      <c r="L101" s="44"/>
      <c r="M101" s="44"/>
      <c r="N101" s="44"/>
      <c r="O101" s="44"/>
      <c r="P101" s="256"/>
      <c r="Q101" s="202"/>
    </row>
    <row r="102" spans="1:17" s="2" customFormat="1" ht="24" hidden="1" customHeight="1" x14ac:dyDescent="0.25">
      <c r="A102" s="6"/>
      <c r="B102" s="188" t="s">
        <v>33</v>
      </c>
      <c r="C102" s="262"/>
      <c r="D102" s="287"/>
      <c r="E102" s="83"/>
      <c r="F102" s="30">
        <v>-208</v>
      </c>
      <c r="G102" s="31"/>
      <c r="H102" s="31"/>
      <c r="I102" s="31"/>
      <c r="J102" s="31"/>
      <c r="K102" s="31"/>
      <c r="L102" s="31"/>
      <c r="M102" s="31"/>
      <c r="N102" s="31"/>
      <c r="O102" s="31"/>
      <c r="P102" s="234"/>
      <c r="Q102" s="243"/>
    </row>
    <row r="103" spans="1:17" s="2" customFormat="1" ht="18" hidden="1" customHeight="1" x14ac:dyDescent="0.25">
      <c r="A103" s="6"/>
      <c r="B103" s="1132" t="s">
        <v>163</v>
      </c>
      <c r="C103" s="1133"/>
      <c r="D103" s="1133"/>
      <c r="E103" s="1133"/>
      <c r="F103" s="1133"/>
      <c r="G103" s="1133"/>
      <c r="H103" s="1133"/>
      <c r="I103" s="1133"/>
      <c r="J103" s="1133"/>
      <c r="K103" s="1133"/>
      <c r="L103" s="1133"/>
      <c r="M103" s="1133"/>
      <c r="N103" s="1133"/>
      <c r="O103" s="1133"/>
      <c r="P103" s="1133"/>
      <c r="Q103" s="1134"/>
    </row>
    <row r="104" spans="1:17" s="2" customFormat="1" ht="24" hidden="1" customHeight="1" x14ac:dyDescent="0.25">
      <c r="A104" s="6"/>
      <c r="B104" s="288" t="s">
        <v>164</v>
      </c>
      <c r="C104" s="329"/>
      <c r="D104" s="330"/>
      <c r="E104" s="166">
        <v>17</v>
      </c>
      <c r="F104" s="284">
        <v>17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22"/>
      <c r="Q104" s="202"/>
    </row>
    <row r="105" spans="1:17" s="2" customFormat="1" ht="24" hidden="1" customHeight="1" x14ac:dyDescent="0.25">
      <c r="A105" s="6"/>
      <c r="B105" s="289" t="s">
        <v>165</v>
      </c>
      <c r="C105" s="331"/>
      <c r="D105" s="332"/>
      <c r="E105" s="333">
        <v>23</v>
      </c>
      <c r="F105" s="285">
        <v>23</v>
      </c>
      <c r="G105" s="67"/>
      <c r="H105" s="67"/>
      <c r="I105" s="67"/>
      <c r="J105" s="67"/>
      <c r="K105" s="67"/>
      <c r="L105" s="67"/>
      <c r="M105" s="67"/>
      <c r="N105" s="67"/>
      <c r="O105" s="67"/>
      <c r="P105" s="286"/>
      <c r="Q105" s="249"/>
    </row>
    <row r="106" spans="1:17" x14ac:dyDescent="0.3">
      <c r="A106" s="5"/>
      <c r="B106" s="1112" t="s">
        <v>59</v>
      </c>
      <c r="C106" s="1113"/>
      <c r="D106" s="1113"/>
      <c r="E106" s="1113"/>
      <c r="F106" s="1113"/>
      <c r="G106" s="1113"/>
      <c r="H106" s="1113"/>
      <c r="I106" s="1113"/>
      <c r="J106" s="1113"/>
      <c r="K106" s="1113"/>
      <c r="L106" s="1113"/>
      <c r="M106" s="1113"/>
      <c r="N106" s="1113"/>
      <c r="O106" s="1113"/>
      <c r="P106" s="1113"/>
      <c r="Q106" s="1114"/>
    </row>
    <row r="107" spans="1:17" s="3" customFormat="1" ht="24" customHeight="1" x14ac:dyDescent="0.25">
      <c r="A107" s="7"/>
      <c r="B107" s="21" t="s">
        <v>60</v>
      </c>
      <c r="C107" s="407">
        <v>15584</v>
      </c>
      <c r="D107" s="85">
        <v>14504</v>
      </c>
      <c r="E107" s="283">
        <f t="shared" ref="E107:E115" si="6">SUM(F107:Q107)</f>
        <v>11455</v>
      </c>
      <c r="F107" s="343">
        <f t="shared" ref="F107:O107" si="7">SUM(F108:F114)</f>
        <v>1117</v>
      </c>
      <c r="G107" s="342">
        <f t="shared" si="7"/>
        <v>1377</v>
      </c>
      <c r="H107" s="217">
        <f t="shared" si="7"/>
        <v>1005</v>
      </c>
      <c r="I107" s="217">
        <f t="shared" si="7"/>
        <v>869</v>
      </c>
      <c r="J107" s="217">
        <f t="shared" si="7"/>
        <v>909</v>
      </c>
      <c r="K107" s="217">
        <f t="shared" si="7"/>
        <v>1230</v>
      </c>
      <c r="L107" s="217">
        <f t="shared" si="7"/>
        <v>1321</v>
      </c>
      <c r="M107" s="217">
        <f t="shared" si="7"/>
        <v>1129</v>
      </c>
      <c r="N107" s="217">
        <f t="shared" si="7"/>
        <v>942</v>
      </c>
      <c r="O107" s="217">
        <f t="shared" si="7"/>
        <v>495</v>
      </c>
      <c r="P107" s="217">
        <v>513</v>
      </c>
      <c r="Q107" s="278">
        <f>SUM(Q108:Q114)</f>
        <v>548</v>
      </c>
    </row>
    <row r="108" spans="1:17" s="3" customFormat="1" ht="24" customHeight="1" x14ac:dyDescent="0.25">
      <c r="A108" s="7"/>
      <c r="B108" s="190" t="s">
        <v>61</v>
      </c>
      <c r="C108" s="408">
        <v>11380</v>
      </c>
      <c r="D108" s="91">
        <v>9344</v>
      </c>
      <c r="E108" s="167">
        <f t="shared" si="6"/>
        <v>7242</v>
      </c>
      <c r="F108" s="92">
        <f>555+6+2</f>
        <v>563</v>
      </c>
      <c r="G108" s="93">
        <f>751+7+5</f>
        <v>763</v>
      </c>
      <c r="H108" s="93">
        <f>593+6+13</f>
        <v>612</v>
      </c>
      <c r="I108" s="93">
        <f>529+1+6+12</f>
        <v>548</v>
      </c>
      <c r="J108" s="93">
        <v>591</v>
      </c>
      <c r="K108" s="93">
        <v>877</v>
      </c>
      <c r="L108" s="244">
        <v>994</v>
      </c>
      <c r="M108" s="93">
        <v>833</v>
      </c>
      <c r="N108" s="93">
        <v>707</v>
      </c>
      <c r="O108" s="93">
        <v>289</v>
      </c>
      <c r="P108" s="244">
        <v>240</v>
      </c>
      <c r="Q108" s="94">
        <v>225</v>
      </c>
    </row>
    <row r="109" spans="1:17" s="3" customFormat="1" ht="24" customHeight="1" x14ac:dyDescent="0.25">
      <c r="A109" s="7"/>
      <c r="B109" s="190" t="s">
        <v>62</v>
      </c>
      <c r="C109" s="408">
        <v>827</v>
      </c>
      <c r="D109" s="91">
        <v>717</v>
      </c>
      <c r="E109" s="167">
        <f t="shared" si="6"/>
        <v>466</v>
      </c>
      <c r="F109" s="92">
        <f>1+45+4</f>
        <v>50</v>
      </c>
      <c r="G109" s="93">
        <v>46</v>
      </c>
      <c r="H109" s="93">
        <v>39</v>
      </c>
      <c r="I109" s="93">
        <f>1+32</f>
        <v>33</v>
      </c>
      <c r="J109" s="93">
        <v>30</v>
      </c>
      <c r="K109" s="93">
        <v>39</v>
      </c>
      <c r="L109" s="244">
        <v>30</v>
      </c>
      <c r="M109" s="93">
        <v>45</v>
      </c>
      <c r="N109" s="93">
        <v>43</v>
      </c>
      <c r="O109" s="93">
        <v>30</v>
      </c>
      <c r="P109" s="244">
        <v>43</v>
      </c>
      <c r="Q109" s="94">
        <v>38</v>
      </c>
    </row>
    <row r="110" spans="1:17" s="3" customFormat="1" ht="24" customHeight="1" x14ac:dyDescent="0.25">
      <c r="A110" s="7"/>
      <c r="B110" s="190" t="s">
        <v>70</v>
      </c>
      <c r="C110" s="408">
        <v>82</v>
      </c>
      <c r="D110" s="91">
        <v>78</v>
      </c>
      <c r="E110" s="167">
        <f t="shared" si="6"/>
        <v>95</v>
      </c>
      <c r="F110" s="92">
        <f>3+8</f>
        <v>11</v>
      </c>
      <c r="G110" s="93">
        <f>1+10</f>
        <v>11</v>
      </c>
      <c r="H110" s="93">
        <v>5</v>
      </c>
      <c r="I110" s="93">
        <v>1</v>
      </c>
      <c r="J110" s="93">
        <v>6</v>
      </c>
      <c r="K110" s="93">
        <v>5</v>
      </c>
      <c r="L110" s="244">
        <v>8</v>
      </c>
      <c r="M110" s="93">
        <v>7</v>
      </c>
      <c r="N110" s="93">
        <v>7</v>
      </c>
      <c r="O110" s="93">
        <v>11</v>
      </c>
      <c r="P110" s="244">
        <v>14</v>
      </c>
      <c r="Q110" s="94">
        <v>9</v>
      </c>
    </row>
    <row r="111" spans="1:17" s="3" customFormat="1" ht="24" customHeight="1" x14ac:dyDescent="0.25">
      <c r="A111" s="7"/>
      <c r="B111" s="190" t="s">
        <v>63</v>
      </c>
      <c r="C111" s="408">
        <v>1825</v>
      </c>
      <c r="D111" s="91">
        <v>2599</v>
      </c>
      <c r="E111" s="167">
        <f t="shared" si="6"/>
        <v>2174</v>
      </c>
      <c r="F111" s="92">
        <f>328+1</f>
        <v>329</v>
      </c>
      <c r="G111" s="93">
        <f>1+368+1</f>
        <v>370</v>
      </c>
      <c r="H111" s="93">
        <f>205+1+4</f>
        <v>210</v>
      </c>
      <c r="I111" s="93">
        <f>164+2</f>
        <v>166</v>
      </c>
      <c r="J111" s="93">
        <v>165</v>
      </c>
      <c r="K111" s="93">
        <v>184</v>
      </c>
      <c r="L111" s="244">
        <v>168</v>
      </c>
      <c r="M111" s="93">
        <v>131</v>
      </c>
      <c r="N111" s="93">
        <v>109</v>
      </c>
      <c r="O111" s="93">
        <v>90</v>
      </c>
      <c r="P111" s="244">
        <v>124</v>
      </c>
      <c r="Q111" s="94">
        <v>128</v>
      </c>
    </row>
    <row r="112" spans="1:17" s="3" customFormat="1" ht="24" customHeight="1" x14ac:dyDescent="0.25">
      <c r="A112" s="7"/>
      <c r="B112" s="190" t="s">
        <v>64</v>
      </c>
      <c r="C112" s="408">
        <v>1227</v>
      </c>
      <c r="D112" s="91">
        <v>1418</v>
      </c>
      <c r="E112" s="167">
        <f t="shared" si="6"/>
        <v>1223</v>
      </c>
      <c r="F112" s="92">
        <v>122</v>
      </c>
      <c r="G112" s="93">
        <f>152+3</f>
        <v>155</v>
      </c>
      <c r="H112" s="93">
        <f>120+1</f>
        <v>121</v>
      </c>
      <c r="I112" s="93">
        <f>110+1</f>
        <v>111</v>
      </c>
      <c r="J112" s="93">
        <v>93</v>
      </c>
      <c r="K112" s="93">
        <v>111</v>
      </c>
      <c r="L112" s="244">
        <v>101</v>
      </c>
      <c r="M112" s="93">
        <v>99</v>
      </c>
      <c r="N112" s="93">
        <v>62</v>
      </c>
      <c r="O112" s="93">
        <v>67</v>
      </c>
      <c r="P112" s="244">
        <v>84</v>
      </c>
      <c r="Q112" s="94">
        <v>97</v>
      </c>
    </row>
    <row r="113" spans="1:17" s="3" customFormat="1" ht="24" customHeight="1" x14ac:dyDescent="0.25">
      <c r="A113" s="7"/>
      <c r="B113" s="190" t="s">
        <v>65</v>
      </c>
      <c r="C113" s="408">
        <v>119</v>
      </c>
      <c r="D113" s="91">
        <v>113</v>
      </c>
      <c r="E113" s="167">
        <f t="shared" si="6"/>
        <v>115</v>
      </c>
      <c r="F113" s="92">
        <v>16</v>
      </c>
      <c r="G113" s="93">
        <f>9+1</f>
        <v>10</v>
      </c>
      <c r="H113" s="93">
        <v>8</v>
      </c>
      <c r="I113" s="93">
        <v>5</v>
      </c>
      <c r="J113" s="93">
        <v>17</v>
      </c>
      <c r="K113" s="93">
        <v>7</v>
      </c>
      <c r="L113" s="244">
        <v>12</v>
      </c>
      <c r="M113" s="93">
        <v>8</v>
      </c>
      <c r="N113" s="93">
        <v>10</v>
      </c>
      <c r="O113" s="93">
        <v>8</v>
      </c>
      <c r="P113" s="244">
        <v>9</v>
      </c>
      <c r="Q113" s="94">
        <v>5</v>
      </c>
    </row>
    <row r="114" spans="1:17" s="3" customFormat="1" ht="23.45" customHeight="1" x14ac:dyDescent="0.25">
      <c r="A114" s="7"/>
      <c r="B114" s="184" t="s">
        <v>122</v>
      </c>
      <c r="C114" s="408">
        <v>124</v>
      </c>
      <c r="D114" s="91">
        <v>235</v>
      </c>
      <c r="E114" s="167">
        <f t="shared" si="6"/>
        <v>143</v>
      </c>
      <c r="F114" s="92">
        <f>3+5+4+9+3+1+1</f>
        <v>26</v>
      </c>
      <c r="G114" s="93">
        <f>5+2+4+5+1+2+2+1</f>
        <v>22</v>
      </c>
      <c r="H114" s="93">
        <f>3+2+2+1+1+1</f>
        <v>10</v>
      </c>
      <c r="I114" s="93">
        <f>3+1+1</f>
        <v>5</v>
      </c>
      <c r="J114" s="93">
        <v>7</v>
      </c>
      <c r="K114" s="93">
        <v>7</v>
      </c>
      <c r="L114" s="244">
        <v>8</v>
      </c>
      <c r="M114" s="93">
        <v>6</v>
      </c>
      <c r="N114" s="93">
        <v>4</v>
      </c>
      <c r="O114" s="93">
        <v>0</v>
      </c>
      <c r="P114" s="244">
        <v>2</v>
      </c>
      <c r="Q114" s="94">
        <v>46</v>
      </c>
    </row>
    <row r="115" spans="1:17" s="3" customFormat="1" ht="24" customHeight="1" x14ac:dyDescent="0.25">
      <c r="A115" s="7"/>
      <c r="B115" s="95" t="s">
        <v>66</v>
      </c>
      <c r="C115" s="408">
        <v>117</v>
      </c>
      <c r="D115" s="97">
        <v>71</v>
      </c>
      <c r="E115" s="168">
        <f t="shared" si="6"/>
        <v>128</v>
      </c>
      <c r="F115" s="98">
        <v>4</v>
      </c>
      <c r="G115" s="99">
        <v>8</v>
      </c>
      <c r="H115" s="99">
        <v>8</v>
      </c>
      <c r="I115" s="99">
        <v>11</v>
      </c>
      <c r="J115" s="99">
        <v>13</v>
      </c>
      <c r="K115" s="99">
        <v>20</v>
      </c>
      <c r="L115" s="99">
        <v>16</v>
      </c>
      <c r="M115" s="99">
        <v>10</v>
      </c>
      <c r="N115" s="99">
        <v>18</v>
      </c>
      <c r="O115" s="99">
        <v>5</v>
      </c>
      <c r="P115" s="260">
        <v>9</v>
      </c>
      <c r="Q115" s="100">
        <v>6</v>
      </c>
    </row>
    <row r="116" spans="1:17" x14ac:dyDescent="0.3">
      <c r="A116" s="5"/>
      <c r="B116" s="1098" t="s">
        <v>71</v>
      </c>
      <c r="C116" s="1099"/>
      <c r="D116" s="1099"/>
      <c r="E116" s="1099"/>
      <c r="F116" s="1099"/>
      <c r="G116" s="1099"/>
      <c r="H116" s="1099"/>
      <c r="I116" s="1099"/>
      <c r="J116" s="1099"/>
      <c r="K116" s="1099"/>
      <c r="L116" s="1099"/>
      <c r="M116" s="1099"/>
      <c r="N116" s="1099"/>
      <c r="O116" s="1099"/>
      <c r="P116" s="1099"/>
      <c r="Q116" s="1100"/>
    </row>
    <row r="117" spans="1:17" ht="17.100000000000001" customHeight="1" x14ac:dyDescent="0.3">
      <c r="A117" s="5"/>
      <c r="B117" s="1135" t="s">
        <v>73</v>
      </c>
      <c r="C117" s="1136"/>
      <c r="D117" s="1136"/>
      <c r="E117" s="1136"/>
      <c r="F117" s="1136"/>
      <c r="G117" s="1136"/>
      <c r="H117" s="1136"/>
      <c r="I117" s="1136"/>
      <c r="J117" s="1136"/>
      <c r="K117" s="1136"/>
      <c r="L117" s="1136"/>
      <c r="M117" s="1136"/>
      <c r="N117" s="1136"/>
      <c r="O117" s="1136"/>
      <c r="P117" s="1136"/>
      <c r="Q117" s="1137"/>
    </row>
    <row r="118" spans="1:17" s="2" customFormat="1" ht="24" customHeight="1" x14ac:dyDescent="0.25">
      <c r="A118" s="6"/>
      <c r="B118" s="72" t="s">
        <v>208</v>
      </c>
      <c r="C118" s="1106"/>
      <c r="D118" s="1107"/>
      <c r="E118" s="215">
        <f>SUM(F118:Q118)</f>
        <v>19502</v>
      </c>
      <c r="F118" s="472">
        <v>2530</v>
      </c>
      <c r="G118" s="473">
        <v>2607</v>
      </c>
      <c r="H118" s="224">
        <v>2394</v>
      </c>
      <c r="I118" s="224">
        <v>2406</v>
      </c>
      <c r="J118" s="224">
        <v>2474</v>
      </c>
      <c r="K118" s="465">
        <v>2404</v>
      </c>
      <c r="L118" s="224">
        <v>2343</v>
      </c>
      <c r="M118" s="474">
        <v>2344</v>
      </c>
      <c r="N118" s="474" t="s">
        <v>144</v>
      </c>
      <c r="O118" s="474" t="s">
        <v>144</v>
      </c>
      <c r="P118" s="474" t="s">
        <v>144</v>
      </c>
      <c r="Q118" s="478" t="s">
        <v>144</v>
      </c>
    </row>
    <row r="119" spans="1:17" s="2" customFormat="1" ht="24" customHeight="1" x14ac:dyDescent="0.25">
      <c r="A119" s="6"/>
      <c r="B119" s="185" t="s">
        <v>32</v>
      </c>
      <c r="C119" s="1106"/>
      <c r="D119" s="1107"/>
      <c r="E119" s="215">
        <f t="shared" ref="E119:E124" si="8">SUM(F119:Q119)</f>
        <v>458</v>
      </c>
      <c r="F119" s="472">
        <v>64</v>
      </c>
      <c r="G119" s="473">
        <v>80</v>
      </c>
      <c r="H119" s="224">
        <v>101</v>
      </c>
      <c r="I119" s="79">
        <v>53</v>
      </c>
      <c r="J119" s="79">
        <v>32</v>
      </c>
      <c r="K119" s="464">
        <v>39</v>
      </c>
      <c r="L119" s="224">
        <v>44</v>
      </c>
      <c r="M119" s="240">
        <v>45</v>
      </c>
      <c r="N119" s="240" t="s">
        <v>144</v>
      </c>
      <c r="O119" s="240" t="s">
        <v>144</v>
      </c>
      <c r="P119" s="240" t="s">
        <v>144</v>
      </c>
      <c r="Q119" s="479" t="s">
        <v>144</v>
      </c>
    </row>
    <row r="120" spans="1:17" s="2" customFormat="1" ht="24" customHeight="1" x14ac:dyDescent="0.25">
      <c r="A120" s="6"/>
      <c r="B120" s="185" t="s">
        <v>142</v>
      </c>
      <c r="C120" s="1106"/>
      <c r="D120" s="1107"/>
      <c r="E120" s="215">
        <f t="shared" si="8"/>
        <v>416</v>
      </c>
      <c r="F120" s="472">
        <v>55</v>
      </c>
      <c r="G120" s="473">
        <v>30</v>
      </c>
      <c r="H120" s="224">
        <v>83</v>
      </c>
      <c r="I120" s="79">
        <v>33</v>
      </c>
      <c r="J120" s="79">
        <v>27</v>
      </c>
      <c r="K120" s="464">
        <v>71</v>
      </c>
      <c r="L120" s="224">
        <v>55</v>
      </c>
      <c r="M120" s="240">
        <v>62</v>
      </c>
      <c r="N120" s="240" t="s">
        <v>144</v>
      </c>
      <c r="O120" s="240" t="s">
        <v>144</v>
      </c>
      <c r="P120" s="240" t="s">
        <v>144</v>
      </c>
      <c r="Q120" s="479" t="s">
        <v>144</v>
      </c>
    </row>
    <row r="121" spans="1:17" s="2" customFormat="1" ht="24" customHeight="1" x14ac:dyDescent="0.25">
      <c r="A121" s="6"/>
      <c r="B121" s="46" t="s">
        <v>207</v>
      </c>
      <c r="C121" s="1106"/>
      <c r="D121" s="1107"/>
      <c r="E121" s="215">
        <f t="shared" si="8"/>
        <v>1020</v>
      </c>
      <c r="F121" s="472">
        <v>106</v>
      </c>
      <c r="G121" s="473">
        <v>97</v>
      </c>
      <c r="H121" s="224" t="s">
        <v>136</v>
      </c>
      <c r="I121" s="79">
        <v>96</v>
      </c>
      <c r="J121" s="79">
        <v>93</v>
      </c>
      <c r="K121" s="464">
        <v>91</v>
      </c>
      <c r="L121" s="224">
        <v>85</v>
      </c>
      <c r="M121" s="240">
        <v>87</v>
      </c>
      <c r="N121" s="240">
        <v>89</v>
      </c>
      <c r="O121" s="240">
        <v>90</v>
      </c>
      <c r="P121" s="240">
        <v>91</v>
      </c>
      <c r="Q121" s="479">
        <v>95</v>
      </c>
    </row>
    <row r="122" spans="1:17" s="2" customFormat="1" ht="24" customHeight="1" x14ac:dyDescent="0.25">
      <c r="A122" s="6"/>
      <c r="B122" s="46" t="s">
        <v>206</v>
      </c>
      <c r="C122" s="1106"/>
      <c r="D122" s="1107"/>
      <c r="E122" s="215">
        <f t="shared" si="8"/>
        <v>635</v>
      </c>
      <c r="F122" s="472">
        <v>52</v>
      </c>
      <c r="G122" s="473">
        <v>58</v>
      </c>
      <c r="H122" s="224" t="s">
        <v>136</v>
      </c>
      <c r="I122" s="79">
        <v>62</v>
      </c>
      <c r="J122" s="79">
        <v>66</v>
      </c>
      <c r="K122" s="464">
        <v>59</v>
      </c>
      <c r="L122" s="224">
        <v>54</v>
      </c>
      <c r="M122" s="240">
        <v>54</v>
      </c>
      <c r="N122" s="240">
        <v>57</v>
      </c>
      <c r="O122" s="240">
        <v>68</v>
      </c>
      <c r="P122" s="240">
        <v>51</v>
      </c>
      <c r="Q122" s="479">
        <v>54</v>
      </c>
    </row>
    <row r="123" spans="1:17" s="2" customFormat="1" ht="24" customHeight="1" x14ac:dyDescent="0.25">
      <c r="A123" s="6"/>
      <c r="B123" s="70" t="s">
        <v>75</v>
      </c>
      <c r="C123" s="1106"/>
      <c r="D123" s="1107"/>
      <c r="E123" s="215">
        <f t="shared" si="8"/>
        <v>13293</v>
      </c>
      <c r="F123" s="472">
        <v>627</v>
      </c>
      <c r="G123" s="473">
        <v>803</v>
      </c>
      <c r="H123" s="224">
        <v>919</v>
      </c>
      <c r="I123" s="79">
        <v>992</v>
      </c>
      <c r="J123" s="79">
        <v>1039</v>
      </c>
      <c r="K123" s="465">
        <v>1143</v>
      </c>
      <c r="L123" s="224">
        <v>1143</v>
      </c>
      <c r="M123" s="240">
        <v>1193</v>
      </c>
      <c r="N123" s="240">
        <v>1252</v>
      </c>
      <c r="O123" s="240">
        <v>1316</v>
      </c>
      <c r="P123" s="240">
        <v>1396</v>
      </c>
      <c r="Q123" s="479">
        <v>1470</v>
      </c>
    </row>
    <row r="124" spans="1:17" s="2" customFormat="1" ht="24" customHeight="1" x14ac:dyDescent="0.25">
      <c r="A124" s="6"/>
      <c r="B124" s="185" t="s">
        <v>32</v>
      </c>
      <c r="C124" s="1106"/>
      <c r="D124" s="1107"/>
      <c r="E124" s="215">
        <f t="shared" si="8"/>
        <v>1064</v>
      </c>
      <c r="F124" s="472">
        <v>112</v>
      </c>
      <c r="G124" s="473">
        <v>173</v>
      </c>
      <c r="H124" s="224">
        <v>116</v>
      </c>
      <c r="I124" s="79">
        <v>73</v>
      </c>
      <c r="J124" s="79">
        <v>47</v>
      </c>
      <c r="K124" s="464">
        <v>104</v>
      </c>
      <c r="L124" s="224">
        <v>85</v>
      </c>
      <c r="M124" s="240">
        <v>50</v>
      </c>
      <c r="N124" s="240">
        <v>59</v>
      </c>
      <c r="O124" s="240">
        <v>123</v>
      </c>
      <c r="P124" s="240">
        <v>48</v>
      </c>
      <c r="Q124" s="479">
        <v>74</v>
      </c>
    </row>
    <row r="125" spans="1:17" s="2" customFormat="1" ht="24" customHeight="1" x14ac:dyDescent="0.25">
      <c r="A125" s="6"/>
      <c r="B125" s="188" t="s">
        <v>33</v>
      </c>
      <c r="C125" s="1106"/>
      <c r="D125" s="1107"/>
      <c r="E125" s="215">
        <f>SUM(F125:Q125)</f>
        <v>0</v>
      </c>
      <c r="F125" s="475">
        <v>0</v>
      </c>
      <c r="G125" s="476">
        <v>0</v>
      </c>
      <c r="H125" s="224">
        <v>0</v>
      </c>
      <c r="I125" s="37">
        <v>0</v>
      </c>
      <c r="J125" s="37">
        <v>0</v>
      </c>
      <c r="K125" s="464">
        <v>0</v>
      </c>
      <c r="L125" s="224">
        <v>0</v>
      </c>
      <c r="M125" s="240">
        <v>0</v>
      </c>
      <c r="N125" s="240">
        <v>0</v>
      </c>
      <c r="O125" s="240">
        <v>0</v>
      </c>
      <c r="P125" s="240">
        <v>0</v>
      </c>
      <c r="Q125" s="479">
        <v>0</v>
      </c>
    </row>
    <row r="126" spans="1:17" x14ac:dyDescent="0.3">
      <c r="A126" s="5"/>
      <c r="B126" s="1124" t="s">
        <v>76</v>
      </c>
      <c r="C126" s="1125"/>
      <c r="D126" s="1125"/>
      <c r="E126" s="1125"/>
      <c r="F126" s="1125"/>
      <c r="G126" s="1125"/>
      <c r="H126" s="1125"/>
      <c r="I126" s="1125"/>
      <c r="J126" s="1125"/>
      <c r="K126" s="1125"/>
      <c r="L126" s="1125"/>
      <c r="M126" s="1125"/>
      <c r="N126" s="1125"/>
      <c r="O126" s="1125"/>
      <c r="P126" s="1125"/>
      <c r="Q126" s="1126"/>
    </row>
    <row r="127" spans="1:17" s="2" customFormat="1" ht="24" customHeight="1" x14ac:dyDescent="0.25">
      <c r="A127" s="6"/>
      <c r="B127" s="72" t="s">
        <v>78</v>
      </c>
      <c r="C127" s="1138"/>
      <c r="D127" s="1139"/>
      <c r="E127" s="1115"/>
      <c r="F127" s="74">
        <v>19877</v>
      </c>
      <c r="G127" s="75">
        <v>19508</v>
      </c>
      <c r="H127" s="75">
        <v>19540</v>
      </c>
      <c r="I127" s="75">
        <v>19419</v>
      </c>
      <c r="J127" s="75">
        <v>19591</v>
      </c>
      <c r="K127" s="75">
        <v>19772</v>
      </c>
      <c r="L127" s="75">
        <v>19689</v>
      </c>
      <c r="M127" s="75">
        <v>19313</v>
      </c>
      <c r="N127" s="75">
        <v>19211</v>
      </c>
      <c r="O127" s="75">
        <v>18840</v>
      </c>
      <c r="P127" s="395">
        <v>18850</v>
      </c>
      <c r="Q127" s="76">
        <v>18912</v>
      </c>
    </row>
    <row r="128" spans="1:17" s="2" customFormat="1" ht="24" customHeight="1" x14ac:dyDescent="0.25">
      <c r="A128" s="6"/>
      <c r="B128" s="70" t="s">
        <v>77</v>
      </c>
      <c r="C128" s="1138"/>
      <c r="D128" s="1139"/>
      <c r="E128" s="1115"/>
      <c r="F128" s="78">
        <v>40209</v>
      </c>
      <c r="G128" s="79">
        <v>40358</v>
      </c>
      <c r="H128" s="79">
        <v>40554</v>
      </c>
      <c r="I128" s="79">
        <v>40502</v>
      </c>
      <c r="J128" s="79">
        <v>40893</v>
      </c>
      <c r="K128" s="79">
        <v>41349</v>
      </c>
      <c r="L128" s="79">
        <v>40928</v>
      </c>
      <c r="M128" s="79">
        <v>40376</v>
      </c>
      <c r="N128" s="79">
        <v>39987</v>
      </c>
      <c r="O128" s="79">
        <v>39405</v>
      </c>
      <c r="P128" s="396">
        <v>36991</v>
      </c>
      <c r="Q128" s="80">
        <v>34913</v>
      </c>
    </row>
    <row r="129" spans="1:17" s="2" customFormat="1" ht="24" hidden="1" customHeight="1" x14ac:dyDescent="0.25">
      <c r="A129" s="6"/>
      <c r="B129" s="71" t="s">
        <v>205</v>
      </c>
      <c r="C129" s="1138"/>
      <c r="D129" s="1139"/>
      <c r="E129" s="1115"/>
      <c r="F129" s="359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38"/>
    </row>
    <row r="130" spans="1:17" s="2" customFormat="1" ht="24" customHeight="1" x14ac:dyDescent="0.25">
      <c r="A130" s="6"/>
      <c r="B130" s="71" t="s">
        <v>79</v>
      </c>
      <c r="C130" s="1138"/>
      <c r="D130" s="1139"/>
      <c r="E130" s="1115"/>
      <c r="F130" s="211">
        <v>5025695</v>
      </c>
      <c r="G130" s="216">
        <v>5052533</v>
      </c>
      <c r="H130" s="216">
        <v>4946331</v>
      </c>
      <c r="I130" s="107">
        <v>4939989</v>
      </c>
      <c r="J130" s="107">
        <v>5080857</v>
      </c>
      <c r="K130" s="107">
        <v>5162985</v>
      </c>
      <c r="L130" s="107">
        <v>5006331</v>
      </c>
      <c r="M130" s="216">
        <v>4955866</v>
      </c>
      <c r="N130" s="107">
        <v>4925521</v>
      </c>
      <c r="O130" s="107">
        <v>4810885</v>
      </c>
      <c r="P130" s="107">
        <v>4801572</v>
      </c>
      <c r="Q130" s="197">
        <v>4846085</v>
      </c>
    </row>
    <row r="131" spans="1:17" x14ac:dyDescent="0.3">
      <c r="A131" s="5"/>
      <c r="B131" s="1124" t="s">
        <v>80</v>
      </c>
      <c r="C131" s="1125"/>
      <c r="D131" s="1125"/>
      <c r="E131" s="1125"/>
      <c r="F131" s="1125"/>
      <c r="G131" s="1125"/>
      <c r="H131" s="1125"/>
      <c r="I131" s="1125"/>
      <c r="J131" s="1125"/>
      <c r="K131" s="1125"/>
      <c r="L131" s="1125"/>
      <c r="M131" s="1125"/>
      <c r="N131" s="1125"/>
      <c r="O131" s="1125"/>
      <c r="P131" s="1125"/>
      <c r="Q131" s="1126"/>
    </row>
    <row r="132" spans="1:17" s="2" customFormat="1" ht="24" customHeight="1" x14ac:dyDescent="0.25">
      <c r="A132" s="6"/>
      <c r="B132" s="72" t="s">
        <v>81</v>
      </c>
      <c r="C132" s="1104"/>
      <c r="D132" s="1105"/>
      <c r="E132" s="1151"/>
      <c r="F132" s="24">
        <f>53140-2606</f>
        <v>50534</v>
      </c>
      <c r="G132" s="25">
        <f>54213-2572</f>
        <v>51641</v>
      </c>
      <c r="H132" s="25">
        <f>54671-2600</f>
        <v>52071</v>
      </c>
      <c r="I132" s="25">
        <f>55437-2514</f>
        <v>52923</v>
      </c>
      <c r="J132" s="25">
        <f>56273-2656</f>
        <v>53617</v>
      </c>
      <c r="K132" s="25">
        <v>56380</v>
      </c>
      <c r="L132" s="25">
        <v>56582</v>
      </c>
      <c r="M132" s="25">
        <v>56154</v>
      </c>
      <c r="N132" s="25">
        <v>55812</v>
      </c>
      <c r="O132" s="25">
        <v>54470</v>
      </c>
      <c r="P132" s="222">
        <v>51418</v>
      </c>
      <c r="Q132" s="26">
        <v>46767</v>
      </c>
    </row>
    <row r="133" spans="1:17" s="2" customFormat="1" ht="24" customHeight="1" x14ac:dyDescent="0.25">
      <c r="A133" s="6"/>
      <c r="B133" s="70" t="s">
        <v>82</v>
      </c>
      <c r="C133" s="1104"/>
      <c r="D133" s="1105"/>
      <c r="E133" s="1151"/>
      <c r="F133" s="43">
        <v>2606</v>
      </c>
      <c r="G133" s="44">
        <v>2572</v>
      </c>
      <c r="H133" s="44">
        <v>2600</v>
      </c>
      <c r="I133" s="44">
        <v>2514</v>
      </c>
      <c r="J133" s="44">
        <v>2656</v>
      </c>
      <c r="K133" s="44">
        <v>2549</v>
      </c>
      <c r="L133" s="44">
        <v>2463</v>
      </c>
      <c r="M133" s="44">
        <v>2418</v>
      </c>
      <c r="N133" s="44">
        <v>2347</v>
      </c>
      <c r="O133" s="44">
        <v>2211</v>
      </c>
      <c r="P133" s="256">
        <v>1984</v>
      </c>
      <c r="Q133" s="45">
        <v>1744</v>
      </c>
    </row>
    <row r="134" spans="1:17" s="2" customFormat="1" ht="24" customHeight="1" x14ac:dyDescent="0.25">
      <c r="A134" s="6"/>
      <c r="B134" s="71" t="s">
        <v>166</v>
      </c>
      <c r="C134" s="1104"/>
      <c r="D134" s="1105"/>
      <c r="E134" s="1151"/>
      <c r="F134" s="30">
        <v>609</v>
      </c>
      <c r="G134" s="31">
        <v>646</v>
      </c>
      <c r="H134" s="31">
        <v>662</v>
      </c>
      <c r="I134" s="234">
        <v>665</v>
      </c>
      <c r="J134" s="31">
        <v>666</v>
      </c>
      <c r="K134" s="31">
        <v>667</v>
      </c>
      <c r="L134" s="31">
        <v>664</v>
      </c>
      <c r="M134" s="31">
        <v>667</v>
      </c>
      <c r="N134" s="31">
        <v>677</v>
      </c>
      <c r="O134" s="31">
        <v>680</v>
      </c>
      <c r="P134" s="234">
        <v>672</v>
      </c>
      <c r="Q134" s="32">
        <v>660</v>
      </c>
    </row>
    <row r="135" spans="1:17" s="2" customFormat="1" ht="36.6" customHeight="1" x14ac:dyDescent="0.25">
      <c r="A135" s="6"/>
      <c r="B135" s="103" t="s">
        <v>253</v>
      </c>
      <c r="C135" s="1104"/>
      <c r="D135" s="1105"/>
      <c r="E135" s="1151"/>
      <c r="F135" s="414">
        <f>SUM(F132:F133)/295373</f>
        <v>0.17990811617852681</v>
      </c>
      <c r="G135" s="415">
        <f>SUM(G132:G133)/295373</f>
        <v>0.18354081111002021</v>
      </c>
      <c r="H135" s="455">
        <f>SUM(H132:H133)/295373</f>
        <v>0.18509139291675272</v>
      </c>
      <c r="I135" s="353">
        <f>SUM(I132:I133)/295373</f>
        <v>0.18768472406076384</v>
      </c>
      <c r="J135" s="353">
        <f>SUM(J132:J134)/295373</f>
        <v>0.19276981985489533</v>
      </c>
      <c r="K135" s="353">
        <f>SUM(K132:K134)/295373</f>
        <v>0.20176522566382168</v>
      </c>
      <c r="L135" s="353">
        <f>SUM(L132:L134)/295373</f>
        <v>0.20214779279081027</v>
      </c>
      <c r="M135" s="353">
        <f>SUM(M132:M134)/306212</f>
        <v>0.19345747390696641</v>
      </c>
      <c r="N135" s="353">
        <f>SUM(N132:N134)/306212</f>
        <v>0.19214139223805729</v>
      </c>
      <c r="O135" s="353">
        <f>SUM(O132:O134)/306212</f>
        <v>0.18732446801562316</v>
      </c>
      <c r="P135" s="353">
        <f>SUM(P132:P134)/306212</f>
        <v>0.17659007485010386</v>
      </c>
      <c r="Q135" s="353">
        <f>SUM(Q132:Q134)/306212</f>
        <v>0.16057829216359906</v>
      </c>
    </row>
    <row r="136" spans="1:17" s="2" customFormat="1" ht="23.45" customHeight="1" x14ac:dyDescent="0.25">
      <c r="A136" s="6"/>
      <c r="B136" s="280" t="s">
        <v>57</v>
      </c>
      <c r="C136" s="261"/>
      <c r="D136" s="281"/>
      <c r="E136" s="266"/>
      <c r="F136" s="106">
        <v>292751</v>
      </c>
      <c r="G136" s="259">
        <v>326057</v>
      </c>
      <c r="H136" s="259">
        <v>312959</v>
      </c>
      <c r="I136" s="259">
        <v>310088</v>
      </c>
      <c r="J136" s="259">
        <v>315708</v>
      </c>
      <c r="K136" s="259">
        <v>316243</v>
      </c>
      <c r="L136" s="259">
        <v>309263</v>
      </c>
      <c r="M136" s="259">
        <v>315408</v>
      </c>
      <c r="N136" s="259">
        <v>309934</v>
      </c>
      <c r="O136" s="259">
        <v>312678</v>
      </c>
      <c r="P136" s="259">
        <v>317523</v>
      </c>
      <c r="Q136" s="294">
        <v>323839</v>
      </c>
    </row>
    <row r="137" spans="1:17" x14ac:dyDescent="0.3">
      <c r="A137" s="5"/>
      <c r="B137" s="1124" t="s">
        <v>88</v>
      </c>
      <c r="C137" s="1125"/>
      <c r="D137" s="1125"/>
      <c r="E137" s="1125"/>
      <c r="F137" s="1125"/>
      <c r="G137" s="1125"/>
      <c r="H137" s="1125"/>
      <c r="I137" s="1125"/>
      <c r="J137" s="1125"/>
      <c r="K137" s="1125"/>
      <c r="L137" s="1125"/>
      <c r="M137" s="1125"/>
      <c r="N137" s="1125"/>
      <c r="O137" s="1125"/>
      <c r="P137" s="1125"/>
      <c r="Q137" s="1126"/>
    </row>
    <row r="138" spans="1:17" x14ac:dyDescent="0.3">
      <c r="A138" s="5"/>
      <c r="B138" s="1116" t="s">
        <v>87</v>
      </c>
      <c r="C138" s="1117"/>
      <c r="D138" s="1117"/>
      <c r="E138" s="1117"/>
      <c r="F138" s="1117"/>
      <c r="G138" s="1117"/>
      <c r="H138" s="1117"/>
      <c r="I138" s="1117"/>
      <c r="J138" s="1117"/>
      <c r="K138" s="1117"/>
      <c r="L138" s="1117"/>
      <c r="M138" s="1117"/>
      <c r="N138" s="1117"/>
      <c r="O138" s="1117"/>
      <c r="P138" s="1117"/>
      <c r="Q138" s="1118"/>
    </row>
    <row r="139" spans="1:17" s="2" customFormat="1" ht="24" customHeight="1" x14ac:dyDescent="0.25">
      <c r="A139" s="6"/>
      <c r="B139" s="72" t="s">
        <v>83</v>
      </c>
      <c r="C139" s="1104"/>
      <c r="D139" s="1105"/>
      <c r="E139" s="69"/>
      <c r="F139" s="24">
        <f>SUM(F140:F141)</f>
        <v>403</v>
      </c>
      <c r="G139" s="222">
        <f>SUM(G140:G141)</f>
        <v>433</v>
      </c>
      <c r="H139" s="222">
        <f>SUM(H140:H141)</f>
        <v>434</v>
      </c>
      <c r="I139" s="222">
        <f>SUM(I140:I141)</f>
        <v>441</v>
      </c>
      <c r="J139" s="222">
        <f>SUM(J140:J141)</f>
        <v>464</v>
      </c>
      <c r="K139" s="222">
        <v>453</v>
      </c>
      <c r="L139" s="222">
        <v>442</v>
      </c>
      <c r="M139" s="222">
        <v>427</v>
      </c>
      <c r="N139" s="222">
        <v>418</v>
      </c>
      <c r="O139" s="222">
        <v>391</v>
      </c>
      <c r="P139" s="222">
        <v>385</v>
      </c>
      <c r="Q139" s="267">
        <v>375</v>
      </c>
    </row>
    <row r="140" spans="1:17" s="2" customFormat="1" ht="24" customHeight="1" x14ac:dyDescent="0.25">
      <c r="A140" s="6"/>
      <c r="B140" s="185" t="s">
        <v>84</v>
      </c>
      <c r="C140" s="1104"/>
      <c r="D140" s="1105"/>
      <c r="E140" s="69"/>
      <c r="F140" s="43">
        <v>305</v>
      </c>
      <c r="G140" s="44">
        <v>310</v>
      </c>
      <c r="H140" s="44">
        <v>317</v>
      </c>
      <c r="I140" s="44">
        <v>321</v>
      </c>
      <c r="J140" s="44">
        <v>333</v>
      </c>
      <c r="K140" s="44">
        <v>323</v>
      </c>
      <c r="L140" s="44">
        <v>313</v>
      </c>
      <c r="M140" s="44">
        <v>312</v>
      </c>
      <c r="N140" s="44">
        <v>302</v>
      </c>
      <c r="O140" s="44">
        <v>301</v>
      </c>
      <c r="P140" s="256">
        <v>297</v>
      </c>
      <c r="Q140" s="45">
        <v>291</v>
      </c>
    </row>
    <row r="141" spans="1:17" s="2" customFormat="1" ht="24" customHeight="1" x14ac:dyDescent="0.25">
      <c r="A141" s="6"/>
      <c r="B141" s="185" t="s">
        <v>85</v>
      </c>
      <c r="C141" s="1104"/>
      <c r="D141" s="1105"/>
      <c r="E141" s="69"/>
      <c r="F141" s="43">
        <v>98</v>
      </c>
      <c r="G141" s="44">
        <v>123</v>
      </c>
      <c r="H141" s="44">
        <v>117</v>
      </c>
      <c r="I141" s="44">
        <v>120</v>
      </c>
      <c r="J141" s="44">
        <v>131</v>
      </c>
      <c r="K141" s="44">
        <v>130</v>
      </c>
      <c r="L141" s="44">
        <v>129</v>
      </c>
      <c r="M141" s="44">
        <v>115</v>
      </c>
      <c r="N141" s="44">
        <v>116</v>
      </c>
      <c r="O141" s="44">
        <v>90</v>
      </c>
      <c r="P141" s="256">
        <v>88</v>
      </c>
      <c r="Q141" s="45">
        <v>84</v>
      </c>
    </row>
    <row r="142" spans="1:17" s="2" customFormat="1" ht="24" customHeight="1" x14ac:dyDescent="0.25">
      <c r="A142" s="6"/>
      <c r="B142" s="71" t="s">
        <v>86</v>
      </c>
      <c r="C142" s="1104"/>
      <c r="D142" s="1105"/>
      <c r="E142" s="69"/>
      <c r="F142" s="106">
        <f>16504+7629+61793+4942</f>
        <v>90868</v>
      </c>
      <c r="G142" s="107">
        <f>15939+64028+7737+8601</f>
        <v>96305</v>
      </c>
      <c r="H142" s="107">
        <f>15892+64200+8767+9804</f>
        <v>98663</v>
      </c>
      <c r="I142" s="216">
        <v>104211</v>
      </c>
      <c r="J142" s="216">
        <f>14504+68830+11976+14448</f>
        <v>109758</v>
      </c>
      <c r="K142" s="107">
        <f>9849+15660+24409+65931</f>
        <v>115849</v>
      </c>
      <c r="L142" s="107">
        <f>23771+7251+62061+18375</f>
        <v>111458</v>
      </c>
      <c r="M142" s="107">
        <f>20360+64103+8026+15841</f>
        <v>108330</v>
      </c>
      <c r="N142" s="107">
        <f>17480+62651+2340+16448</f>
        <v>98919</v>
      </c>
      <c r="O142" s="108">
        <f>13934+61047+0+1524+13733</f>
        <v>90238</v>
      </c>
      <c r="P142" s="259">
        <f>11240+59995+0+4170+12111</f>
        <v>87516</v>
      </c>
      <c r="Q142" s="197">
        <f>11253+58557+0+5827+9105</f>
        <v>84742</v>
      </c>
    </row>
    <row r="143" spans="1:17" x14ac:dyDescent="0.3">
      <c r="A143" s="5"/>
      <c r="B143" s="1116" t="s">
        <v>89</v>
      </c>
      <c r="C143" s="1117"/>
      <c r="D143" s="1117"/>
      <c r="E143" s="1117"/>
      <c r="F143" s="1117"/>
      <c r="G143" s="1117"/>
      <c r="H143" s="1117"/>
      <c r="I143" s="1117"/>
      <c r="J143" s="1117"/>
      <c r="K143" s="1117"/>
      <c r="L143" s="1117"/>
      <c r="M143" s="1117"/>
      <c r="N143" s="1117"/>
      <c r="O143" s="1117"/>
      <c r="P143" s="1117"/>
      <c r="Q143" s="1118"/>
    </row>
    <row r="144" spans="1:17" s="2" customFormat="1" ht="24" customHeight="1" x14ac:dyDescent="0.25">
      <c r="A144" s="6"/>
      <c r="B144" s="72" t="s">
        <v>90</v>
      </c>
      <c r="C144" s="1104"/>
      <c r="D144" s="1105"/>
      <c r="E144" s="69"/>
      <c r="F144" s="456">
        <v>66</v>
      </c>
      <c r="G144" s="416">
        <v>123</v>
      </c>
      <c r="H144" s="454">
        <v>117</v>
      </c>
      <c r="I144" s="460">
        <v>119</v>
      </c>
      <c r="J144" s="25">
        <v>131</v>
      </c>
      <c r="K144" s="25">
        <v>130</v>
      </c>
      <c r="L144" s="25">
        <v>129</v>
      </c>
      <c r="M144" s="25">
        <v>115</v>
      </c>
      <c r="N144" s="25">
        <v>116</v>
      </c>
      <c r="O144" s="25">
        <v>90</v>
      </c>
      <c r="P144" s="25">
        <v>88</v>
      </c>
      <c r="Q144" s="202">
        <v>84</v>
      </c>
    </row>
    <row r="145" spans="1:17" s="2" customFormat="1" ht="39.6" hidden="1" customHeight="1" x14ac:dyDescent="0.25">
      <c r="A145" s="6"/>
      <c r="B145" s="109" t="s">
        <v>91</v>
      </c>
      <c r="C145" s="1140"/>
      <c r="D145" s="1141"/>
      <c r="E145" s="69"/>
      <c r="F145" s="418" t="s">
        <v>136</v>
      </c>
      <c r="G145" s="417" t="s">
        <v>136</v>
      </c>
      <c r="H145" s="231"/>
      <c r="I145" s="461"/>
      <c r="J145" s="231"/>
      <c r="K145" s="231"/>
      <c r="L145" s="231"/>
      <c r="M145" s="231"/>
      <c r="N145" s="231"/>
      <c r="O145" s="231"/>
      <c r="P145" s="231"/>
      <c r="Q145" s="271"/>
    </row>
    <row r="146" spans="1:17" s="2" customFormat="1" ht="24" hidden="1" customHeight="1" x14ac:dyDescent="0.25">
      <c r="A146" s="6"/>
      <c r="B146" s="71" t="s">
        <v>92</v>
      </c>
      <c r="C146" s="1140"/>
      <c r="D146" s="1141"/>
      <c r="E146" s="69"/>
      <c r="F146" s="418" t="s">
        <v>136</v>
      </c>
      <c r="G146" s="417" t="s">
        <v>136</v>
      </c>
      <c r="H146" s="225"/>
      <c r="I146" s="462"/>
      <c r="J146" s="225"/>
      <c r="K146" s="225"/>
      <c r="L146" s="225"/>
      <c r="M146" s="225"/>
      <c r="N146" s="225"/>
      <c r="O146" s="225"/>
      <c r="P146" s="225"/>
      <c r="Q146" s="272"/>
    </row>
    <row r="147" spans="1:17" s="2" customFormat="1" ht="24" customHeight="1" x14ac:dyDescent="0.25">
      <c r="A147" s="6"/>
      <c r="B147" s="70" t="s">
        <v>132</v>
      </c>
      <c r="C147" s="73">
        <v>83</v>
      </c>
      <c r="D147" s="116">
        <v>132</v>
      </c>
      <c r="E147" s="169">
        <f>SUM(F147:Q147)</f>
        <v>115</v>
      </c>
      <c r="F147" s="456">
        <v>8</v>
      </c>
      <c r="G147" s="457">
        <v>17</v>
      </c>
      <c r="H147" s="358">
        <v>10</v>
      </c>
      <c r="I147" s="463">
        <v>8</v>
      </c>
      <c r="J147" s="358">
        <v>13</v>
      </c>
      <c r="K147" s="358">
        <v>6</v>
      </c>
      <c r="L147" s="195">
        <v>14</v>
      </c>
      <c r="M147" s="358">
        <v>10</v>
      </c>
      <c r="N147" s="358">
        <v>6</v>
      </c>
      <c r="O147" s="358">
        <v>12</v>
      </c>
      <c r="P147" s="195">
        <v>6</v>
      </c>
      <c r="Q147" s="398">
        <v>5</v>
      </c>
    </row>
    <row r="148" spans="1:17" s="2" customFormat="1" ht="24" customHeight="1" x14ac:dyDescent="0.25">
      <c r="A148" s="6"/>
      <c r="B148" s="118" t="s">
        <v>133</v>
      </c>
      <c r="C148" s="119">
        <v>49</v>
      </c>
      <c r="D148" s="120">
        <v>220</v>
      </c>
      <c r="E148" s="170">
        <f>SUM(F148:Q148)</f>
        <v>250</v>
      </c>
      <c r="F148" s="251">
        <v>20</v>
      </c>
      <c r="G148" s="238">
        <v>25</v>
      </c>
      <c r="H148" s="238">
        <v>28</v>
      </c>
      <c r="I148" s="238">
        <v>27</v>
      </c>
      <c r="J148" s="238">
        <v>27</v>
      </c>
      <c r="K148" s="238">
        <v>26</v>
      </c>
      <c r="L148" s="238">
        <v>23</v>
      </c>
      <c r="M148" s="238">
        <v>27</v>
      </c>
      <c r="N148" s="238">
        <v>14</v>
      </c>
      <c r="O148" s="238">
        <v>7</v>
      </c>
      <c r="P148" s="397">
        <v>10</v>
      </c>
      <c r="Q148" s="399">
        <v>16</v>
      </c>
    </row>
    <row r="149" spans="1:17" x14ac:dyDescent="0.3">
      <c r="A149" s="5"/>
      <c r="B149" s="1098" t="s">
        <v>93</v>
      </c>
      <c r="C149" s="1099"/>
      <c r="D149" s="1099"/>
      <c r="E149" s="1099"/>
      <c r="F149" s="1099"/>
      <c r="G149" s="1099"/>
      <c r="H149" s="1099"/>
      <c r="I149" s="1099"/>
      <c r="J149" s="1099"/>
      <c r="K149" s="1099"/>
      <c r="L149" s="1099"/>
      <c r="M149" s="1099"/>
      <c r="N149" s="1099"/>
      <c r="O149" s="1099"/>
      <c r="P149" s="1099"/>
      <c r="Q149" s="1100"/>
    </row>
    <row r="150" spans="1:17" x14ac:dyDescent="0.3">
      <c r="A150" s="5"/>
      <c r="B150" s="1124" t="s">
        <v>94</v>
      </c>
      <c r="C150" s="1125"/>
      <c r="D150" s="1125"/>
      <c r="E150" s="1125"/>
      <c r="F150" s="1125"/>
      <c r="G150" s="1125"/>
      <c r="H150" s="1125"/>
      <c r="I150" s="1125"/>
      <c r="J150" s="1125"/>
      <c r="K150" s="1125"/>
      <c r="L150" s="1125"/>
      <c r="M150" s="1125"/>
      <c r="N150" s="1125"/>
      <c r="O150" s="1125"/>
      <c r="P150" s="1125"/>
      <c r="Q150" s="1126"/>
    </row>
    <row r="151" spans="1:17" s="2" customFormat="1" ht="24" customHeight="1" x14ac:dyDescent="0.25">
      <c r="A151" s="6"/>
      <c r="B151" s="72" t="s">
        <v>125</v>
      </c>
      <c r="C151" s="124">
        <v>481917</v>
      </c>
      <c r="D151" s="125">
        <v>746485.88</v>
      </c>
      <c r="E151" s="192">
        <f>SUM(F151:Q151)</f>
        <v>655238.52</v>
      </c>
      <c r="F151" s="419">
        <f t="shared" ref="F151:K151" si="9">SUM(F152:F157)</f>
        <v>42139.94</v>
      </c>
      <c r="G151" s="420">
        <f t="shared" si="9"/>
        <v>40561</v>
      </c>
      <c r="H151" s="221">
        <f t="shared" si="9"/>
        <v>42518.51</v>
      </c>
      <c r="I151" s="221">
        <f t="shared" si="9"/>
        <v>46921.41</v>
      </c>
      <c r="J151" s="221">
        <f t="shared" si="9"/>
        <v>47705.67</v>
      </c>
      <c r="K151" s="221">
        <f t="shared" si="9"/>
        <v>45567.77</v>
      </c>
      <c r="L151" s="221">
        <f t="shared" ref="L151:Q151" si="10">SUM(L152:L157)</f>
        <v>41990</v>
      </c>
      <c r="M151" s="221">
        <f t="shared" si="10"/>
        <v>40455.129999999997</v>
      </c>
      <c r="N151" s="221">
        <f t="shared" si="10"/>
        <v>129604.18</v>
      </c>
      <c r="O151" s="221">
        <f t="shared" si="10"/>
        <v>64227.29</v>
      </c>
      <c r="P151" s="221">
        <f t="shared" si="10"/>
        <v>64295.16</v>
      </c>
      <c r="Q151" s="274">
        <f t="shared" si="10"/>
        <v>49252.46</v>
      </c>
    </row>
    <row r="152" spans="1:17" s="2" customFormat="1" ht="24" customHeight="1" x14ac:dyDescent="0.25">
      <c r="A152" s="6"/>
      <c r="B152" s="191" t="s">
        <v>126</v>
      </c>
      <c r="C152" s="124">
        <v>6080</v>
      </c>
      <c r="D152" s="125">
        <v>7722.46</v>
      </c>
      <c r="E152" s="192">
        <f t="shared" ref="E152:E157" si="11">SUM(F152:Q152)</f>
        <v>8784.26</v>
      </c>
      <c r="F152" s="421">
        <v>190</v>
      </c>
      <c r="G152" s="422">
        <v>190</v>
      </c>
      <c r="H152" s="127">
        <v>354.94</v>
      </c>
      <c r="I152" s="127">
        <v>262</v>
      </c>
      <c r="J152" s="127">
        <v>275</v>
      </c>
      <c r="K152" s="127">
        <v>240</v>
      </c>
      <c r="L152" s="127">
        <v>1559</v>
      </c>
      <c r="M152" s="127">
        <v>330</v>
      </c>
      <c r="N152" s="127">
        <v>900.53</v>
      </c>
      <c r="O152" s="127">
        <v>841</v>
      </c>
      <c r="P152" s="221">
        <v>2662.93</v>
      </c>
      <c r="Q152" s="128">
        <v>978.86</v>
      </c>
    </row>
    <row r="153" spans="1:17" s="2" customFormat="1" ht="24" customHeight="1" x14ac:dyDescent="0.25">
      <c r="A153" s="6"/>
      <c r="B153" s="185" t="s">
        <v>127</v>
      </c>
      <c r="C153" s="130">
        <v>449180</v>
      </c>
      <c r="D153" s="131">
        <v>687338.45</v>
      </c>
      <c r="E153" s="193">
        <f t="shared" si="11"/>
        <v>589832.02</v>
      </c>
      <c r="F153" s="423">
        <v>37067.94</v>
      </c>
      <c r="G153" s="424">
        <v>29235</v>
      </c>
      <c r="H153" s="133">
        <v>40281.14</v>
      </c>
      <c r="I153" s="133">
        <v>44186.41</v>
      </c>
      <c r="J153" s="133">
        <v>42904.17</v>
      </c>
      <c r="K153" s="133">
        <v>43736.77</v>
      </c>
      <c r="L153" s="133">
        <v>36581</v>
      </c>
      <c r="M153" s="133">
        <v>35770.25</v>
      </c>
      <c r="N153" s="134">
        <v>124002.65</v>
      </c>
      <c r="O153" s="133">
        <v>59300.24</v>
      </c>
      <c r="P153" s="257">
        <v>53508.55</v>
      </c>
      <c r="Q153" s="135">
        <v>43257.9</v>
      </c>
    </row>
    <row r="154" spans="1:17" s="2" customFormat="1" ht="24" customHeight="1" x14ac:dyDescent="0.25">
      <c r="A154" s="6"/>
      <c r="B154" s="185" t="s">
        <v>128</v>
      </c>
      <c r="C154" s="130">
        <v>11387</v>
      </c>
      <c r="D154" s="131">
        <v>15257.31</v>
      </c>
      <c r="E154" s="193">
        <f t="shared" si="11"/>
        <v>24142.86</v>
      </c>
      <c r="F154" s="423">
        <v>1980</v>
      </c>
      <c r="G154" s="424">
        <v>2501</v>
      </c>
      <c r="H154" s="133">
        <v>1632.43</v>
      </c>
      <c r="I154" s="133">
        <v>1665</v>
      </c>
      <c r="J154" s="133">
        <v>2216.5</v>
      </c>
      <c r="K154" s="133">
        <v>1361</v>
      </c>
      <c r="L154" s="133">
        <v>1651</v>
      </c>
      <c r="M154" s="133">
        <v>1700</v>
      </c>
      <c r="N154" s="133">
        <v>2005</v>
      </c>
      <c r="O154" s="133">
        <v>1891.55</v>
      </c>
      <c r="P154" s="257">
        <v>2177.6799999999998</v>
      </c>
      <c r="Q154" s="135">
        <v>3361.7</v>
      </c>
    </row>
    <row r="155" spans="1:17" s="2" customFormat="1" ht="24" customHeight="1" x14ac:dyDescent="0.25">
      <c r="A155" s="6"/>
      <c r="B155" s="185" t="s">
        <v>129</v>
      </c>
      <c r="C155" s="130">
        <v>15272</v>
      </c>
      <c r="D155" s="131">
        <v>35917.660000000003</v>
      </c>
      <c r="E155" s="193">
        <f t="shared" si="11"/>
        <v>29172.38</v>
      </c>
      <c r="F155" s="423">
        <v>2902</v>
      </c>
      <c r="G155" s="424">
        <v>8580</v>
      </c>
      <c r="H155" s="133">
        <v>125</v>
      </c>
      <c r="I155" s="133">
        <v>683</v>
      </c>
      <c r="J155" s="133">
        <v>2310</v>
      </c>
      <c r="K155" s="133">
        <v>150</v>
      </c>
      <c r="L155" s="133">
        <v>1059</v>
      </c>
      <c r="M155" s="133">
        <v>2579.88</v>
      </c>
      <c r="N155" s="133">
        <v>2621</v>
      </c>
      <c r="O155" s="133">
        <v>1944.5</v>
      </c>
      <c r="P155" s="257">
        <v>5335</v>
      </c>
      <c r="Q155" s="135">
        <v>883</v>
      </c>
    </row>
    <row r="156" spans="1:17" s="2" customFormat="1" ht="24" customHeight="1" x14ac:dyDescent="0.25">
      <c r="A156" s="6"/>
      <c r="B156" s="185" t="s">
        <v>130</v>
      </c>
      <c r="C156" s="130">
        <v>0</v>
      </c>
      <c r="D156" s="131">
        <v>250</v>
      </c>
      <c r="E156" s="193">
        <f t="shared" si="11"/>
        <v>3307</v>
      </c>
      <c r="F156" s="423">
        <v>0</v>
      </c>
      <c r="G156" s="424">
        <v>55</v>
      </c>
      <c r="H156" s="133">
        <v>125</v>
      </c>
      <c r="I156" s="133">
        <v>125</v>
      </c>
      <c r="J156" s="133">
        <v>0</v>
      </c>
      <c r="K156" s="133">
        <v>80</v>
      </c>
      <c r="L156" s="133">
        <v>1140</v>
      </c>
      <c r="M156" s="133">
        <v>75</v>
      </c>
      <c r="N156" s="133">
        <v>75</v>
      </c>
      <c r="O156" s="133">
        <v>250</v>
      </c>
      <c r="P156" s="257">
        <v>611</v>
      </c>
      <c r="Q156" s="135">
        <v>771</v>
      </c>
    </row>
    <row r="157" spans="1:17" s="2" customFormat="1" ht="24" customHeight="1" x14ac:dyDescent="0.25">
      <c r="A157" s="6"/>
      <c r="B157" s="188" t="s">
        <v>131</v>
      </c>
      <c r="C157" s="136">
        <v>0</v>
      </c>
      <c r="D157" s="137">
        <v>0</v>
      </c>
      <c r="E157" s="194">
        <f t="shared" si="11"/>
        <v>0</v>
      </c>
      <c r="F157" s="425">
        <v>0</v>
      </c>
      <c r="G157" s="426">
        <v>0</v>
      </c>
      <c r="H157" s="139">
        <v>0</v>
      </c>
      <c r="I157" s="139">
        <v>0</v>
      </c>
      <c r="J157" s="139">
        <v>0</v>
      </c>
      <c r="K157" s="139">
        <v>0</v>
      </c>
      <c r="L157" s="139">
        <v>0</v>
      </c>
      <c r="M157" s="139">
        <v>0</v>
      </c>
      <c r="N157" s="139">
        <v>0</v>
      </c>
      <c r="O157" s="139">
        <v>0</v>
      </c>
      <c r="P157" s="258">
        <v>0</v>
      </c>
      <c r="Q157" s="140">
        <v>0</v>
      </c>
    </row>
    <row r="158" spans="1:17" x14ac:dyDescent="0.3">
      <c r="A158" s="5"/>
      <c r="B158" s="1124" t="s">
        <v>95</v>
      </c>
      <c r="C158" s="1125"/>
      <c r="D158" s="1125"/>
      <c r="E158" s="1125"/>
      <c r="F158" s="1125"/>
      <c r="G158" s="1125"/>
      <c r="H158" s="1125"/>
      <c r="I158" s="1125"/>
      <c r="J158" s="1125"/>
      <c r="K158" s="1125"/>
      <c r="L158" s="1125"/>
      <c r="M158" s="1125"/>
      <c r="N158" s="1125"/>
      <c r="O158" s="1125"/>
      <c r="P158" s="1125"/>
      <c r="Q158" s="1126"/>
    </row>
    <row r="159" spans="1:17" s="2" customFormat="1" ht="24" customHeight="1" x14ac:dyDescent="0.25">
      <c r="A159" s="6"/>
      <c r="B159" s="72" t="s">
        <v>96</v>
      </c>
      <c r="C159" s="73">
        <v>79280</v>
      </c>
      <c r="D159" s="40">
        <v>109666</v>
      </c>
      <c r="E159" s="159">
        <f>SUM(F159:Q159)</f>
        <v>117452</v>
      </c>
      <c r="F159" s="74">
        <f t="shared" ref="F159:L159" si="12">SUM(F160:F161)</f>
        <v>10033</v>
      </c>
      <c r="G159" s="224">
        <f t="shared" si="12"/>
        <v>10838</v>
      </c>
      <c r="H159" s="224">
        <f t="shared" si="12"/>
        <v>9565</v>
      </c>
      <c r="I159" s="224">
        <f t="shared" si="12"/>
        <v>9413</v>
      </c>
      <c r="J159" s="224">
        <f t="shared" si="12"/>
        <v>8744</v>
      </c>
      <c r="K159" s="224">
        <f t="shared" si="12"/>
        <v>10365</v>
      </c>
      <c r="L159" s="224">
        <f t="shared" si="12"/>
        <v>11230</v>
      </c>
      <c r="M159" s="224">
        <f>SUM(M160,M161)</f>
        <v>9887</v>
      </c>
      <c r="N159" s="224">
        <f>SUM(N160:N161)</f>
        <v>9512</v>
      </c>
      <c r="O159" s="224">
        <f>SUM(O160:O161)</f>
        <v>8288</v>
      </c>
      <c r="P159" s="222">
        <f>SUM(P160:P161)</f>
        <v>9769</v>
      </c>
      <c r="Q159" s="267">
        <f>SUM(Q160:Q161)</f>
        <v>9808</v>
      </c>
    </row>
    <row r="160" spans="1:17" s="2" customFormat="1" ht="24" customHeight="1" x14ac:dyDescent="0.25">
      <c r="A160" s="6"/>
      <c r="B160" s="191" t="s">
        <v>97</v>
      </c>
      <c r="C160" s="73">
        <v>7177</v>
      </c>
      <c r="D160" s="40">
        <v>101569</v>
      </c>
      <c r="E160" s="159">
        <f>SUM(F160:Q160)</f>
        <v>111992</v>
      </c>
      <c r="F160" s="74">
        <f>3+2+286+1166+344+266+2249+213+2247+24+45+43+2077+528</f>
        <v>9493</v>
      </c>
      <c r="G160" s="224">
        <f>179+440+413+341+2702+264+2523+27+69+41+2517+572</f>
        <v>10088</v>
      </c>
      <c r="H160" s="224">
        <f>197+390+386+293+2389+261+2214+23+85+25+2117+534</f>
        <v>8914</v>
      </c>
      <c r="I160" s="224">
        <f>165+458+641+372+2310+293+2078+56+20+1997+513</f>
        <v>8903</v>
      </c>
      <c r="J160" s="224">
        <f>165+363+594+286+2208+252+2099+43+17+1757+505</f>
        <v>8289</v>
      </c>
      <c r="K160" s="224">
        <f>124+118+397+1411+419+314+2717+232+2148+21+24+1640+417</f>
        <v>9982</v>
      </c>
      <c r="L160" s="224">
        <f>119+96+343+1546+455+303+3024+249+2167+30+21+1966+451</f>
        <v>10770</v>
      </c>
      <c r="M160" s="224">
        <v>9452</v>
      </c>
      <c r="N160" s="224">
        <v>9121</v>
      </c>
      <c r="O160" s="224">
        <v>8021</v>
      </c>
      <c r="P160" s="222">
        <v>9461</v>
      </c>
      <c r="Q160" s="267">
        <v>9498</v>
      </c>
    </row>
    <row r="161" spans="1:17" s="2" customFormat="1" ht="24" customHeight="1" x14ac:dyDescent="0.25">
      <c r="A161" s="6"/>
      <c r="B161" s="185" t="s">
        <v>134</v>
      </c>
      <c r="C161" s="77">
        <v>7503</v>
      </c>
      <c r="D161" s="42">
        <v>8097</v>
      </c>
      <c r="E161" s="163">
        <f>SUM(F161:Q161)</f>
        <v>5460</v>
      </c>
      <c r="F161" s="78">
        <v>540</v>
      </c>
      <c r="G161" s="218">
        <v>750</v>
      </c>
      <c r="H161" s="218">
        <v>651</v>
      </c>
      <c r="I161" s="218">
        <f>488+22</f>
        <v>510</v>
      </c>
      <c r="J161" s="218">
        <f>434+21</f>
        <v>455</v>
      </c>
      <c r="K161" s="218">
        <f>351+32</f>
        <v>383</v>
      </c>
      <c r="L161" s="218">
        <f>449+11</f>
        <v>460</v>
      </c>
      <c r="M161" s="218">
        <v>435</v>
      </c>
      <c r="N161" s="218">
        <v>391</v>
      </c>
      <c r="O161" s="218">
        <v>267</v>
      </c>
      <c r="P161" s="256">
        <v>308</v>
      </c>
      <c r="Q161" s="275">
        <v>310</v>
      </c>
    </row>
    <row r="162" spans="1:17" s="2" customFormat="1" ht="24" customHeight="1" x14ac:dyDescent="0.25">
      <c r="A162" s="6"/>
      <c r="B162" s="70" t="s">
        <v>135</v>
      </c>
      <c r="C162" s="77">
        <v>195104</v>
      </c>
      <c r="D162" s="42">
        <v>210862</v>
      </c>
      <c r="E162" s="163">
        <f>SUM(F162:Q162)</f>
        <v>191581</v>
      </c>
      <c r="F162" s="78">
        <v>16114</v>
      </c>
      <c r="G162" s="218">
        <v>19067</v>
      </c>
      <c r="H162" s="218">
        <v>18288</v>
      </c>
      <c r="I162" s="218">
        <v>18644</v>
      </c>
      <c r="J162" s="218">
        <v>15075</v>
      </c>
      <c r="K162" s="218">
        <v>14707</v>
      </c>
      <c r="L162" s="218">
        <v>16242</v>
      </c>
      <c r="M162" s="218">
        <v>16830</v>
      </c>
      <c r="N162" s="218">
        <v>14185</v>
      </c>
      <c r="O162" s="218">
        <v>12433</v>
      </c>
      <c r="P162" s="256">
        <v>14721</v>
      </c>
      <c r="Q162" s="275">
        <v>15275</v>
      </c>
    </row>
    <row r="163" spans="1:17" s="2" customFormat="1" ht="24" customHeight="1" x14ac:dyDescent="0.25">
      <c r="A163" s="6"/>
      <c r="B163" s="185" t="s">
        <v>98</v>
      </c>
      <c r="C163" s="77">
        <v>193034</v>
      </c>
      <c r="D163" s="42">
        <v>208429</v>
      </c>
      <c r="E163" s="163">
        <f>SUM(F163:Q163)</f>
        <v>188764</v>
      </c>
      <c r="F163" s="81">
        <v>15944</v>
      </c>
      <c r="G163" s="219">
        <v>18932</v>
      </c>
      <c r="H163" s="219">
        <v>18140</v>
      </c>
      <c r="I163" s="219">
        <v>17905</v>
      </c>
      <c r="J163" s="219">
        <v>14991</v>
      </c>
      <c r="K163" s="219">
        <v>14607</v>
      </c>
      <c r="L163" s="219">
        <v>15980</v>
      </c>
      <c r="M163" s="219">
        <v>16727</v>
      </c>
      <c r="N163" s="219">
        <v>13787</v>
      </c>
      <c r="O163" s="219">
        <v>12086</v>
      </c>
      <c r="P163" s="234">
        <v>14537</v>
      </c>
      <c r="Q163" s="276">
        <v>15128</v>
      </c>
    </row>
    <row r="164" spans="1:17" s="2" customFormat="1" ht="24" customHeight="1" x14ac:dyDescent="0.25">
      <c r="A164" s="6"/>
      <c r="B164" s="188" t="s">
        <v>118</v>
      </c>
      <c r="C164" s="141">
        <v>0.98939999999999995</v>
      </c>
      <c r="D164" s="142">
        <v>0.98850000000000005</v>
      </c>
      <c r="E164" s="174">
        <f>E163/E162</f>
        <v>0.98529603666334342</v>
      </c>
      <c r="F164" s="113">
        <f>F163/F162</f>
        <v>0.98945016755616233</v>
      </c>
      <c r="G164" s="348">
        <f>G163/G162</f>
        <v>0.99291970420097553</v>
      </c>
      <c r="H164" s="233">
        <f>H163/H162</f>
        <v>0.99190726159230092</v>
      </c>
      <c r="I164" s="233">
        <v>0.96040000000000003</v>
      </c>
      <c r="J164" s="233">
        <v>0.99439999999999995</v>
      </c>
      <c r="K164" s="233">
        <v>0.99319999999999997</v>
      </c>
      <c r="L164" s="233">
        <v>0.9839</v>
      </c>
      <c r="M164" s="233">
        <v>0.99390000000000001</v>
      </c>
      <c r="N164" s="233">
        <v>0.97189999999999999</v>
      </c>
      <c r="O164" s="233">
        <v>0.97209999999999996</v>
      </c>
      <c r="P164" s="233">
        <v>0.98750000000000004</v>
      </c>
      <c r="Q164" s="277">
        <v>0.99039999999999995</v>
      </c>
    </row>
    <row r="165" spans="1:17" x14ac:dyDescent="0.3">
      <c r="A165" s="5"/>
      <c r="B165" s="1124" t="s">
        <v>99</v>
      </c>
      <c r="C165" s="1125"/>
      <c r="D165" s="1125"/>
      <c r="E165" s="1125"/>
      <c r="F165" s="1125"/>
      <c r="G165" s="1125"/>
      <c r="H165" s="1125"/>
      <c r="I165" s="1125"/>
      <c r="J165" s="1125"/>
      <c r="K165" s="1125"/>
      <c r="L165" s="1125"/>
      <c r="M165" s="1125"/>
      <c r="N165" s="1125"/>
      <c r="O165" s="1125"/>
      <c r="P165" s="1125"/>
      <c r="Q165" s="1126"/>
    </row>
    <row r="166" spans="1:17" s="2" customFormat="1" ht="24" customHeight="1" x14ac:dyDescent="0.25">
      <c r="A166" s="6"/>
      <c r="B166" s="72" t="s">
        <v>106</v>
      </c>
      <c r="C166" s="61">
        <v>2853</v>
      </c>
      <c r="D166" s="62">
        <v>2331</v>
      </c>
      <c r="E166" s="161">
        <f>SUM(F166:Q166)</f>
        <v>2893</v>
      </c>
      <c r="F166" s="24">
        <f t="shared" ref="F166:K166" si="13">SUM(F167:F172)</f>
        <v>143</v>
      </c>
      <c r="G166" s="222">
        <f t="shared" si="13"/>
        <v>142</v>
      </c>
      <c r="H166" s="222">
        <f t="shared" si="13"/>
        <v>153</v>
      </c>
      <c r="I166" s="222">
        <f t="shared" si="13"/>
        <v>225</v>
      </c>
      <c r="J166" s="222">
        <f t="shared" si="13"/>
        <v>194</v>
      </c>
      <c r="K166" s="222">
        <f t="shared" si="13"/>
        <v>121</v>
      </c>
      <c r="L166" s="222">
        <f t="shared" ref="L166:Q166" si="14">SUM(L167:L172)</f>
        <v>179</v>
      </c>
      <c r="M166" s="222">
        <f t="shared" si="14"/>
        <v>422</v>
      </c>
      <c r="N166" s="222">
        <f t="shared" si="14"/>
        <v>644</v>
      </c>
      <c r="O166" s="222">
        <f t="shared" si="14"/>
        <v>262</v>
      </c>
      <c r="P166" s="222">
        <f t="shared" si="14"/>
        <v>228</v>
      </c>
      <c r="Q166" s="267">
        <f t="shared" si="14"/>
        <v>180</v>
      </c>
    </row>
    <row r="167" spans="1:17" s="2" customFormat="1" ht="36" customHeight="1" x14ac:dyDescent="0.25">
      <c r="A167" s="6"/>
      <c r="B167" s="183" t="s">
        <v>100</v>
      </c>
      <c r="C167" s="51">
        <v>575</v>
      </c>
      <c r="D167" s="52">
        <v>630</v>
      </c>
      <c r="E167" s="162">
        <f t="shared" ref="E167:E172" si="15">SUM(F167:Q167)</f>
        <v>734</v>
      </c>
      <c r="F167" s="43">
        <v>4</v>
      </c>
      <c r="G167" s="44">
        <v>30</v>
      </c>
      <c r="H167" s="44">
        <v>6</v>
      </c>
      <c r="I167" s="44">
        <v>29</v>
      </c>
      <c r="J167" s="44">
        <v>14</v>
      </c>
      <c r="K167" s="44">
        <v>49</v>
      </c>
      <c r="L167" s="44">
        <v>16</v>
      </c>
      <c r="M167" s="44">
        <v>264</v>
      </c>
      <c r="N167" s="44">
        <v>257</v>
      </c>
      <c r="O167" s="44">
        <v>17</v>
      </c>
      <c r="P167" s="44">
        <v>29</v>
      </c>
      <c r="Q167" s="45">
        <v>19</v>
      </c>
    </row>
    <row r="168" spans="1:17" s="2" customFormat="1" ht="32.1" customHeight="1" x14ac:dyDescent="0.25">
      <c r="A168" s="6"/>
      <c r="B168" s="183" t="s">
        <v>101</v>
      </c>
      <c r="C168" s="51">
        <v>0</v>
      </c>
      <c r="D168" s="52">
        <v>0</v>
      </c>
      <c r="E168" s="162">
        <f t="shared" si="15"/>
        <v>0</v>
      </c>
      <c r="F168" s="43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4">
        <v>0</v>
      </c>
      <c r="Q168" s="45">
        <v>0</v>
      </c>
    </row>
    <row r="169" spans="1:17" s="2" customFormat="1" ht="33.6" customHeight="1" x14ac:dyDescent="0.25">
      <c r="A169" s="6"/>
      <c r="B169" s="183" t="s">
        <v>102</v>
      </c>
      <c r="C169" s="51">
        <v>222</v>
      </c>
      <c r="D169" s="52">
        <v>45</v>
      </c>
      <c r="E169" s="162">
        <f t="shared" si="15"/>
        <v>159</v>
      </c>
      <c r="F169" s="43">
        <v>0</v>
      </c>
      <c r="G169" s="44">
        <v>24</v>
      </c>
      <c r="H169" s="44">
        <v>0</v>
      </c>
      <c r="I169" s="44">
        <v>16</v>
      </c>
      <c r="J169" s="44">
        <v>14</v>
      </c>
      <c r="K169" s="44">
        <v>20</v>
      </c>
      <c r="L169" s="44">
        <v>11</v>
      </c>
      <c r="M169" s="44">
        <v>0</v>
      </c>
      <c r="N169" s="44">
        <v>0</v>
      </c>
      <c r="O169" s="44">
        <v>20</v>
      </c>
      <c r="P169" s="44">
        <v>29</v>
      </c>
      <c r="Q169" s="45">
        <v>25</v>
      </c>
    </row>
    <row r="170" spans="1:17" s="2" customFormat="1" ht="29.45" customHeight="1" x14ac:dyDescent="0.25">
      <c r="A170" s="6"/>
      <c r="B170" s="183" t="s">
        <v>103</v>
      </c>
      <c r="C170" s="51">
        <v>843</v>
      </c>
      <c r="D170" s="52">
        <v>535</v>
      </c>
      <c r="E170" s="162">
        <f t="shared" si="15"/>
        <v>604</v>
      </c>
      <c r="F170" s="43">
        <v>73</v>
      </c>
      <c r="G170" s="44">
        <v>69</v>
      </c>
      <c r="H170" s="44">
        <v>84</v>
      </c>
      <c r="I170" s="44">
        <v>55</v>
      </c>
      <c r="J170" s="44">
        <v>35</v>
      </c>
      <c r="K170" s="44">
        <v>32</v>
      </c>
      <c r="L170" s="44">
        <v>35</v>
      </c>
      <c r="M170" s="44">
        <v>17</v>
      </c>
      <c r="N170" s="44">
        <v>68</v>
      </c>
      <c r="O170" s="44">
        <v>55</v>
      </c>
      <c r="P170" s="44">
        <v>29</v>
      </c>
      <c r="Q170" s="45">
        <v>52</v>
      </c>
    </row>
    <row r="171" spans="1:17" s="2" customFormat="1" ht="24" customHeight="1" x14ac:dyDescent="0.25">
      <c r="A171" s="6"/>
      <c r="B171" s="185" t="s">
        <v>104</v>
      </c>
      <c r="C171" s="51">
        <v>1065</v>
      </c>
      <c r="D171" s="52">
        <v>726</v>
      </c>
      <c r="E171" s="162">
        <f t="shared" si="15"/>
        <v>1259</v>
      </c>
      <c r="F171" s="43">
        <v>66</v>
      </c>
      <c r="G171" s="44">
        <v>19</v>
      </c>
      <c r="H171" s="44">
        <v>63</v>
      </c>
      <c r="I171" s="44">
        <v>122</v>
      </c>
      <c r="J171" s="44">
        <v>131</v>
      </c>
      <c r="K171" s="44">
        <v>20</v>
      </c>
      <c r="L171" s="44">
        <v>117</v>
      </c>
      <c r="M171" s="44">
        <v>141</v>
      </c>
      <c r="N171" s="44">
        <v>222</v>
      </c>
      <c r="O171" s="44">
        <v>149</v>
      </c>
      <c r="P171" s="44">
        <v>133</v>
      </c>
      <c r="Q171" s="45">
        <v>76</v>
      </c>
    </row>
    <row r="172" spans="1:17" s="2" customFormat="1" ht="24" customHeight="1" x14ac:dyDescent="0.25">
      <c r="A172" s="6"/>
      <c r="B172" s="189" t="s">
        <v>105</v>
      </c>
      <c r="C172" s="64">
        <v>148</v>
      </c>
      <c r="D172" s="65">
        <v>395</v>
      </c>
      <c r="E172" s="165">
        <f t="shared" si="15"/>
        <v>137</v>
      </c>
      <c r="F172" s="66">
        <v>0</v>
      </c>
      <c r="G172" s="67">
        <v>0</v>
      </c>
      <c r="H172" s="67">
        <v>0</v>
      </c>
      <c r="I172" s="67">
        <v>3</v>
      </c>
      <c r="J172" s="67">
        <v>0</v>
      </c>
      <c r="K172" s="67">
        <v>0</v>
      </c>
      <c r="L172" s="67">
        <v>0</v>
      </c>
      <c r="M172" s="67">
        <v>0</v>
      </c>
      <c r="N172" s="67">
        <v>97</v>
      </c>
      <c r="O172" s="67">
        <v>21</v>
      </c>
      <c r="P172" s="67">
        <v>8</v>
      </c>
      <c r="Q172" s="68">
        <v>8</v>
      </c>
    </row>
    <row r="173" spans="1:17" x14ac:dyDescent="0.3">
      <c r="A173" s="5"/>
      <c r="B173" s="1098" t="s">
        <v>107</v>
      </c>
      <c r="C173" s="1099"/>
      <c r="D173" s="1099"/>
      <c r="E173" s="1099"/>
      <c r="F173" s="1099"/>
      <c r="G173" s="1099"/>
      <c r="H173" s="1099"/>
      <c r="I173" s="1099"/>
      <c r="J173" s="1099"/>
      <c r="K173" s="1099"/>
      <c r="L173" s="1099"/>
      <c r="M173" s="1099"/>
      <c r="N173" s="1099"/>
      <c r="O173" s="1099"/>
      <c r="P173" s="1099"/>
      <c r="Q173" s="1100"/>
    </row>
    <row r="174" spans="1:17" s="2" customFormat="1" ht="24" customHeight="1" x14ac:dyDescent="0.25">
      <c r="A174" s="6"/>
      <c r="B174" s="72" t="s">
        <v>124</v>
      </c>
      <c r="C174" s="144">
        <v>17057198</v>
      </c>
      <c r="D174" s="145">
        <v>17365522</v>
      </c>
      <c r="E174" s="177">
        <f>SUM(F174:Q174)</f>
        <v>17754099.98</v>
      </c>
      <c r="F174" s="212">
        <v>1372679.54</v>
      </c>
      <c r="G174" s="230">
        <v>1480693.82</v>
      </c>
      <c r="H174" s="235">
        <v>1422037.72</v>
      </c>
      <c r="I174" s="235">
        <v>1392249.33</v>
      </c>
      <c r="J174" s="235">
        <v>1455690</v>
      </c>
      <c r="K174" s="235">
        <v>1449394.33</v>
      </c>
      <c r="L174" s="235">
        <v>1431395.23</v>
      </c>
      <c r="M174" s="235">
        <v>1417188.87</v>
      </c>
      <c r="N174" s="235">
        <v>1789659.9</v>
      </c>
      <c r="O174" s="471">
        <v>1423374</v>
      </c>
      <c r="P174" s="470">
        <v>1649232.07</v>
      </c>
      <c r="Q174" s="268">
        <v>1470505.17</v>
      </c>
    </row>
    <row r="175" spans="1:17" x14ac:dyDescent="0.3">
      <c r="A175" s="5"/>
      <c r="B175" s="1143"/>
      <c r="C175" s="1144"/>
      <c r="D175" s="1144"/>
      <c r="E175" s="1144"/>
      <c r="F175" s="1144"/>
      <c r="G175" s="1144"/>
      <c r="H175" s="1144"/>
      <c r="I175" s="1144"/>
      <c r="J175" s="1144"/>
      <c r="K175" s="1144"/>
      <c r="L175" s="1144"/>
      <c r="M175" s="1144"/>
      <c r="N175" s="1144"/>
      <c r="O175" s="1144"/>
      <c r="P175" s="1144"/>
      <c r="Q175" s="1145"/>
    </row>
    <row r="176" spans="1:17" x14ac:dyDescent="0.3">
      <c r="A176" s="5"/>
      <c r="B176" s="1146" t="s">
        <v>108</v>
      </c>
      <c r="C176" s="1147"/>
      <c r="D176" s="1147"/>
      <c r="E176" s="1147"/>
      <c r="F176" s="1147"/>
      <c r="G176" s="1147"/>
      <c r="H176" s="1147"/>
      <c r="I176" s="1147"/>
      <c r="J176" s="1147"/>
      <c r="K176" s="1147"/>
      <c r="L176" s="1147"/>
      <c r="M176" s="1147"/>
      <c r="N176" s="1147"/>
      <c r="O176" s="1147"/>
      <c r="P176" s="1147"/>
      <c r="Q176" s="1148"/>
    </row>
    <row r="177" spans="1:19" s="2" customFormat="1" ht="24" customHeight="1" x14ac:dyDescent="0.25">
      <c r="A177" s="6"/>
      <c r="B177" s="149" t="s">
        <v>109</v>
      </c>
      <c r="C177" s="1149"/>
      <c r="D177" s="1150"/>
      <c r="E177" s="1152"/>
      <c r="F177" s="206">
        <v>114288</v>
      </c>
      <c r="G177" s="427">
        <v>114151</v>
      </c>
      <c r="H177" s="427">
        <v>114191</v>
      </c>
      <c r="I177" s="427">
        <v>114102</v>
      </c>
      <c r="J177" s="427">
        <v>113939</v>
      </c>
      <c r="K177" s="427">
        <v>113891</v>
      </c>
      <c r="L177" s="207">
        <v>113726</v>
      </c>
      <c r="M177" s="207">
        <v>113739</v>
      </c>
      <c r="N177" s="207">
        <v>113852</v>
      </c>
      <c r="O177" s="207">
        <v>114020</v>
      </c>
      <c r="P177" s="207">
        <v>113980</v>
      </c>
      <c r="Q177" s="208">
        <v>114096</v>
      </c>
    </row>
    <row r="178" spans="1:19" ht="37.5" x14ac:dyDescent="0.3">
      <c r="A178" s="8"/>
      <c r="B178" s="152" t="s">
        <v>252</v>
      </c>
      <c r="C178" s="1127"/>
      <c r="D178" s="1128"/>
      <c r="E178" s="1153"/>
      <c r="F178" s="466">
        <f>F177/R178</f>
        <v>0.37323161731088267</v>
      </c>
      <c r="G178" s="350">
        <f>G177/R178</f>
        <v>0.37278421485768032</v>
      </c>
      <c r="H178" s="350">
        <f>H177/R178</f>
        <v>0.37291484331117003</v>
      </c>
      <c r="I178" s="350">
        <f>I177/R178</f>
        <v>0.37262419500215538</v>
      </c>
      <c r="J178" s="350">
        <f>J177/R178</f>
        <v>0.3720918840541847</v>
      </c>
      <c r="K178" s="350">
        <f>K177/R178</f>
        <v>0.371935129909997</v>
      </c>
      <c r="L178" s="350">
        <f>L177/R178</f>
        <v>0.37139628753935183</v>
      </c>
      <c r="M178" s="350">
        <f>M177/R178</f>
        <v>0.37143874178673597</v>
      </c>
      <c r="N178" s="469">
        <f>N177/R178</f>
        <v>0.37180776716784453</v>
      </c>
      <c r="O178" s="469">
        <f>O177/R178</f>
        <v>0.37235640667250142</v>
      </c>
      <c r="P178" s="469">
        <f>P177/R178</f>
        <v>0.37222577821901165</v>
      </c>
      <c r="Q178" s="400">
        <f>Q177/R178</f>
        <v>0.37260460073413193</v>
      </c>
      <c r="R178" s="1">
        <v>306212</v>
      </c>
      <c r="S178" s="459">
        <v>42552</v>
      </c>
    </row>
    <row r="180" spans="1:19" ht="24" hidden="1" customHeight="1" x14ac:dyDescent="0.3">
      <c r="B180" s="307" t="s">
        <v>200</v>
      </c>
      <c r="C180" s="308"/>
      <c r="D180" s="308"/>
      <c r="E180" s="308"/>
      <c r="F180" s="308"/>
      <c r="G180" s="308"/>
      <c r="H180" s="308"/>
      <c r="I180" s="308"/>
      <c r="J180" s="308"/>
      <c r="K180" s="308"/>
      <c r="L180" s="308"/>
      <c r="M180" s="308"/>
      <c r="N180" s="308"/>
      <c r="O180" s="308"/>
      <c r="P180" s="308"/>
      <c r="Q180" s="309"/>
    </row>
    <row r="181" spans="1:19" hidden="1" x14ac:dyDescent="0.3">
      <c r="B181" s="297" t="s">
        <v>174</v>
      </c>
      <c r="C181" s="301"/>
      <c r="D181" s="301"/>
      <c r="E181" s="301"/>
      <c r="F181" s="301"/>
      <c r="G181" s="301"/>
      <c r="H181" s="301"/>
      <c r="I181" s="301"/>
      <c r="J181" s="301"/>
      <c r="K181" s="301"/>
      <c r="L181" s="301"/>
      <c r="M181" s="301"/>
      <c r="N181" s="301"/>
      <c r="O181" s="301"/>
      <c r="P181" s="301"/>
      <c r="Q181" s="302"/>
    </row>
    <row r="182" spans="1:19" ht="21" hidden="1" customHeight="1" x14ac:dyDescent="0.3">
      <c r="B182" s="296" t="s">
        <v>181</v>
      </c>
      <c r="C182" s="303"/>
      <c r="D182" s="303"/>
      <c r="E182" s="303"/>
      <c r="F182" s="303"/>
      <c r="G182" s="303"/>
      <c r="H182" s="303"/>
      <c r="I182" s="303"/>
      <c r="J182" s="303"/>
      <c r="K182" s="303"/>
      <c r="L182" s="303"/>
      <c r="M182" s="303"/>
      <c r="N182" s="303"/>
      <c r="O182" s="303"/>
      <c r="P182" s="303"/>
      <c r="Q182" s="304"/>
    </row>
    <row r="183" spans="1:19" ht="21" hidden="1" customHeight="1" x14ac:dyDescent="0.3">
      <c r="B183" s="310" t="s">
        <v>4</v>
      </c>
      <c r="C183" s="313"/>
      <c r="D183" s="409" t="s">
        <v>214</v>
      </c>
      <c r="E183" s="373" t="e">
        <f>AVERAGE(F183:Q183)</f>
        <v>#DIV/0!</v>
      </c>
      <c r="F183" s="24"/>
      <c r="G183" s="25"/>
      <c r="H183" s="25"/>
      <c r="I183" s="25"/>
      <c r="J183" s="25"/>
      <c r="K183" s="25"/>
      <c r="L183" s="25"/>
      <c r="M183" s="362"/>
      <c r="N183" s="362"/>
      <c r="O183" s="362"/>
      <c r="P183" s="362"/>
      <c r="Q183" s="366"/>
    </row>
    <row r="184" spans="1:19" ht="21" hidden="1" customHeight="1" x14ac:dyDescent="0.3">
      <c r="B184" s="311" t="s">
        <v>177</v>
      </c>
      <c r="C184" s="313"/>
      <c r="D184" s="410" t="s">
        <v>215</v>
      </c>
      <c r="E184" s="374" t="e">
        <f>AVERAGE(F184:Q184)</f>
        <v>#DIV/0!</v>
      </c>
      <c r="F184" s="363"/>
      <c r="G184" s="363"/>
      <c r="H184" s="363"/>
      <c r="I184" s="363"/>
      <c r="J184" s="363"/>
      <c r="K184" s="363"/>
      <c r="L184" s="363"/>
      <c r="M184" s="364"/>
      <c r="N184" s="364"/>
      <c r="O184" s="364"/>
      <c r="P184" s="364"/>
      <c r="Q184" s="367"/>
    </row>
    <row r="185" spans="1:19" ht="21" hidden="1" customHeight="1" x14ac:dyDescent="0.3">
      <c r="B185" s="311" t="s">
        <v>180</v>
      </c>
      <c r="C185" s="313"/>
      <c r="D185" s="410" t="s">
        <v>216</v>
      </c>
      <c r="E185" s="374" t="e">
        <f>((ROUND(E183/E184,0)&amp;" : "&amp;"1"))</f>
        <v>#DIV/0!</v>
      </c>
      <c r="F185" s="363" t="e">
        <f>((ROUND(F183/F184,0)&amp;" : "&amp;"1"))</f>
        <v>#DIV/0!</v>
      </c>
      <c r="G185" s="363" t="e">
        <f t="shared" ref="G185:Q185" si="16">((ROUND(G183/G184,0)&amp;" : "&amp;"1"))</f>
        <v>#DIV/0!</v>
      </c>
      <c r="H185" s="363" t="e">
        <f t="shared" si="16"/>
        <v>#DIV/0!</v>
      </c>
      <c r="I185" s="363" t="e">
        <f t="shared" si="16"/>
        <v>#DIV/0!</v>
      </c>
      <c r="J185" s="363" t="e">
        <f t="shared" si="16"/>
        <v>#DIV/0!</v>
      </c>
      <c r="K185" s="363" t="e">
        <f t="shared" si="16"/>
        <v>#DIV/0!</v>
      </c>
      <c r="L185" s="363" t="e">
        <f t="shared" si="16"/>
        <v>#DIV/0!</v>
      </c>
      <c r="M185" s="363" t="e">
        <f t="shared" si="16"/>
        <v>#DIV/0!</v>
      </c>
      <c r="N185" s="363" t="e">
        <f t="shared" si="16"/>
        <v>#DIV/0!</v>
      </c>
      <c r="O185" s="363" t="e">
        <f t="shared" si="16"/>
        <v>#DIV/0!</v>
      </c>
      <c r="P185" s="363" t="e">
        <f t="shared" si="16"/>
        <v>#DIV/0!</v>
      </c>
      <c r="Q185" s="367" t="e">
        <f t="shared" si="16"/>
        <v>#DIV/0!</v>
      </c>
    </row>
    <row r="186" spans="1:19" ht="21" hidden="1" customHeight="1" x14ac:dyDescent="0.3">
      <c r="B186" s="312" t="s">
        <v>179</v>
      </c>
      <c r="C186" s="313"/>
      <c r="D186" s="411" t="s">
        <v>184</v>
      </c>
      <c r="E186" s="369" t="s">
        <v>184</v>
      </c>
      <c r="F186" s="370" t="s">
        <v>184</v>
      </c>
      <c r="G186" s="370" t="s">
        <v>184</v>
      </c>
      <c r="H186" s="370" t="s">
        <v>184</v>
      </c>
      <c r="I186" s="370" t="s">
        <v>184</v>
      </c>
      <c r="J186" s="370" t="s">
        <v>184</v>
      </c>
      <c r="K186" s="370" t="s">
        <v>184</v>
      </c>
      <c r="L186" s="370" t="s">
        <v>184</v>
      </c>
      <c r="M186" s="370" t="s">
        <v>184</v>
      </c>
      <c r="N186" s="370" t="s">
        <v>184</v>
      </c>
      <c r="O186" s="370" t="s">
        <v>184</v>
      </c>
      <c r="P186" s="370" t="s">
        <v>184</v>
      </c>
      <c r="Q186" s="372" t="s">
        <v>184</v>
      </c>
    </row>
    <row r="187" spans="1:19" ht="21" hidden="1" customHeight="1" x14ac:dyDescent="0.3">
      <c r="B187" s="296" t="s">
        <v>191</v>
      </c>
      <c r="C187" s="298"/>
      <c r="D187" s="380"/>
      <c r="E187" s="380"/>
      <c r="F187" s="380"/>
      <c r="G187" s="380"/>
      <c r="H187" s="380"/>
      <c r="I187" s="380"/>
      <c r="J187" s="380"/>
      <c r="K187" s="380"/>
      <c r="L187" s="380"/>
      <c r="M187" s="380"/>
      <c r="N187" s="380"/>
      <c r="O187" s="380"/>
      <c r="P187" s="380"/>
      <c r="Q187" s="381"/>
    </row>
    <row r="188" spans="1:19" ht="21" hidden="1" customHeight="1" x14ac:dyDescent="0.3">
      <c r="B188" s="310" t="s">
        <v>178</v>
      </c>
      <c r="C188" s="313"/>
      <c r="D188" s="409" t="s">
        <v>217</v>
      </c>
      <c r="E188" s="393" t="e">
        <f>AVERAGE(F188:Q188)</f>
        <v>#DIV/0!</v>
      </c>
      <c r="F188" s="389"/>
      <c r="G188" s="389"/>
      <c r="H188" s="391"/>
      <c r="I188" s="391"/>
      <c r="J188" s="391"/>
      <c r="K188" s="391"/>
      <c r="L188" s="391"/>
      <c r="M188" s="391"/>
      <c r="N188" s="391"/>
      <c r="O188" s="362"/>
      <c r="P188" s="362"/>
      <c r="Q188" s="366"/>
    </row>
    <row r="189" spans="1:19" ht="21" hidden="1" customHeight="1" x14ac:dyDescent="0.3">
      <c r="B189" s="311" t="s">
        <v>177</v>
      </c>
      <c r="C189" s="313"/>
      <c r="D189" s="410" t="s">
        <v>218</v>
      </c>
      <c r="E189" s="394" t="e">
        <f>AVERAGE(F189:Q189)</f>
        <v>#DIV/0!</v>
      </c>
      <c r="F189" s="390"/>
      <c r="G189" s="390"/>
      <c r="H189" s="392"/>
      <c r="I189" s="392"/>
      <c r="J189" s="392"/>
      <c r="K189" s="392"/>
      <c r="L189" s="392"/>
      <c r="M189" s="392"/>
      <c r="N189" s="392"/>
      <c r="O189" s="364"/>
      <c r="P189" s="364"/>
      <c r="Q189" s="367"/>
    </row>
    <row r="190" spans="1:19" ht="21" hidden="1" customHeight="1" x14ac:dyDescent="0.3">
      <c r="B190" s="311" t="s">
        <v>180</v>
      </c>
      <c r="C190" s="313"/>
      <c r="D190" s="410" t="s">
        <v>219</v>
      </c>
      <c r="E190" s="394" t="e">
        <f>((ROUND(E188/E189,0)&amp;" : "&amp;"1"))</f>
        <v>#DIV/0!</v>
      </c>
      <c r="F190" s="390" t="s">
        <v>136</v>
      </c>
      <c r="G190" s="390" t="s">
        <v>136</v>
      </c>
      <c r="H190" s="364" t="e">
        <f t="shared" ref="H190:Q190" si="17">((ROUND(H188/H189,0)&amp;" : "&amp;"1"))</f>
        <v>#DIV/0!</v>
      </c>
      <c r="I190" s="364" t="e">
        <f t="shared" si="17"/>
        <v>#DIV/0!</v>
      </c>
      <c r="J190" s="364" t="e">
        <f t="shared" si="17"/>
        <v>#DIV/0!</v>
      </c>
      <c r="K190" s="364" t="e">
        <f t="shared" si="17"/>
        <v>#DIV/0!</v>
      </c>
      <c r="L190" s="364" t="e">
        <f t="shared" si="17"/>
        <v>#DIV/0!</v>
      </c>
      <c r="M190" s="364" t="e">
        <f t="shared" si="17"/>
        <v>#DIV/0!</v>
      </c>
      <c r="N190" s="364" t="e">
        <f t="shared" si="17"/>
        <v>#DIV/0!</v>
      </c>
      <c r="O190" s="364" t="e">
        <f t="shared" si="17"/>
        <v>#DIV/0!</v>
      </c>
      <c r="P190" s="364" t="e">
        <f t="shared" si="17"/>
        <v>#DIV/0!</v>
      </c>
      <c r="Q190" s="367" t="e">
        <f t="shared" si="17"/>
        <v>#DIV/0!</v>
      </c>
    </row>
    <row r="191" spans="1:19" ht="21" hidden="1" customHeight="1" x14ac:dyDescent="0.3">
      <c r="B191" s="312" t="s">
        <v>179</v>
      </c>
      <c r="C191" s="313"/>
      <c r="D191" s="411" t="s">
        <v>185</v>
      </c>
      <c r="E191" s="369" t="s">
        <v>185</v>
      </c>
      <c r="F191" s="370" t="s">
        <v>185</v>
      </c>
      <c r="G191" s="370" t="s">
        <v>185</v>
      </c>
      <c r="H191" s="371" t="s">
        <v>185</v>
      </c>
      <c r="I191" s="371" t="s">
        <v>185</v>
      </c>
      <c r="J191" s="371" t="s">
        <v>185</v>
      </c>
      <c r="K191" s="371" t="s">
        <v>185</v>
      </c>
      <c r="L191" s="371" t="s">
        <v>185</v>
      </c>
      <c r="M191" s="371" t="s">
        <v>185</v>
      </c>
      <c r="N191" s="371" t="s">
        <v>185</v>
      </c>
      <c r="O191" s="371" t="s">
        <v>185</v>
      </c>
      <c r="P191" s="371" t="s">
        <v>185</v>
      </c>
      <c r="Q191" s="372" t="s">
        <v>185</v>
      </c>
    </row>
    <row r="192" spans="1:19" ht="21" hidden="1" customHeight="1" x14ac:dyDescent="0.3">
      <c r="B192" s="296" t="s">
        <v>182</v>
      </c>
      <c r="C192" s="298"/>
      <c r="D192" s="380"/>
      <c r="E192" s="380"/>
      <c r="F192" s="380"/>
      <c r="G192" s="380"/>
      <c r="H192" s="380"/>
      <c r="I192" s="380"/>
      <c r="J192" s="380"/>
      <c r="K192" s="380"/>
      <c r="L192" s="380"/>
      <c r="M192" s="380"/>
      <c r="N192" s="380"/>
      <c r="O192" s="380"/>
      <c r="P192" s="380"/>
      <c r="Q192" s="381"/>
    </row>
    <row r="193" spans="2:17" ht="21" hidden="1" customHeight="1" x14ac:dyDescent="0.3">
      <c r="B193" s="310" t="s">
        <v>178</v>
      </c>
      <c r="C193" s="313"/>
      <c r="D193" s="409" t="s">
        <v>220</v>
      </c>
      <c r="E193" s="373" t="e">
        <f>AVERAGE(F193:Q193)</f>
        <v>#DIV/0!</v>
      </c>
      <c r="F193" s="387"/>
      <c r="G193" s="386"/>
      <c r="H193" s="386"/>
      <c r="I193" s="386"/>
      <c r="J193" s="386"/>
      <c r="K193" s="386"/>
      <c r="L193" s="386"/>
      <c r="M193" s="362"/>
      <c r="N193" s="362"/>
      <c r="O193" s="362"/>
      <c r="P193" s="362"/>
      <c r="Q193" s="366"/>
    </row>
    <row r="194" spans="2:17" ht="21" hidden="1" customHeight="1" x14ac:dyDescent="0.3">
      <c r="B194" s="311" t="s">
        <v>177</v>
      </c>
      <c r="C194" s="313"/>
      <c r="D194" s="410" t="s">
        <v>221</v>
      </c>
      <c r="E194" s="374" t="e">
        <f>AVERAGE(F194:Q194)</f>
        <v>#DIV/0!</v>
      </c>
      <c r="F194" s="385"/>
      <c r="G194" s="384"/>
      <c r="H194" s="364"/>
      <c r="I194" s="384"/>
      <c r="J194" s="384"/>
      <c r="K194" s="384"/>
      <c r="L194" s="384"/>
      <c r="M194" s="364"/>
      <c r="N194" s="364"/>
      <c r="O194" s="364"/>
      <c r="P194" s="364"/>
      <c r="Q194" s="367"/>
    </row>
    <row r="195" spans="2:17" ht="21" hidden="1" customHeight="1" x14ac:dyDescent="0.3">
      <c r="B195" s="311" t="s">
        <v>180</v>
      </c>
      <c r="C195" s="313"/>
      <c r="D195" s="410" t="s">
        <v>222</v>
      </c>
      <c r="E195" s="374" t="e">
        <f>((ROUND(E193/E194,0)&amp;" : "&amp;"1"))</f>
        <v>#DIV/0!</v>
      </c>
      <c r="F195" s="363" t="e">
        <f>((ROUND(F193/F194,0)&amp;" : "&amp;"1"))</f>
        <v>#DIV/0!</v>
      </c>
      <c r="G195" s="363" t="e">
        <f t="shared" ref="G195:M195" si="18">((ROUND(G193/G194,0)&amp;" : "&amp;"1"))</f>
        <v>#DIV/0!</v>
      </c>
      <c r="H195" s="363" t="e">
        <f t="shared" si="18"/>
        <v>#DIV/0!</v>
      </c>
      <c r="I195" s="363" t="e">
        <f t="shared" si="18"/>
        <v>#DIV/0!</v>
      </c>
      <c r="J195" s="363" t="e">
        <f t="shared" si="18"/>
        <v>#DIV/0!</v>
      </c>
      <c r="K195" s="363" t="e">
        <f t="shared" si="18"/>
        <v>#DIV/0!</v>
      </c>
      <c r="L195" s="363" t="e">
        <f t="shared" si="18"/>
        <v>#DIV/0!</v>
      </c>
      <c r="M195" s="363" t="e">
        <f t="shared" si="18"/>
        <v>#DIV/0!</v>
      </c>
      <c r="N195" s="363" t="e">
        <f>((ROUND(N193/N194,0)&amp;" : "&amp;"1"))</f>
        <v>#DIV/0!</v>
      </c>
      <c r="O195" s="363" t="e">
        <f>((ROUND(O193/O194,0)&amp;" : "&amp;"1"))</f>
        <v>#DIV/0!</v>
      </c>
      <c r="P195" s="363" t="e">
        <f>((ROUND(P193/P194,0)&amp;" : "&amp;"1"))</f>
        <v>#DIV/0!</v>
      </c>
      <c r="Q195" s="401" t="e">
        <f>((ROUND(Q193/Q194,0)&amp;" : "&amp;"1"))</f>
        <v>#DIV/0!</v>
      </c>
    </row>
    <row r="196" spans="2:17" ht="21" hidden="1" customHeight="1" x14ac:dyDescent="0.3">
      <c r="B196" s="312" t="s">
        <v>179</v>
      </c>
      <c r="C196" s="313"/>
      <c r="D196" s="411" t="s">
        <v>185</v>
      </c>
      <c r="E196" s="369" t="s">
        <v>185</v>
      </c>
      <c r="F196" s="370" t="s">
        <v>185</v>
      </c>
      <c r="G196" s="370" t="s">
        <v>185</v>
      </c>
      <c r="H196" s="370" t="s">
        <v>185</v>
      </c>
      <c r="I196" s="370" t="s">
        <v>185</v>
      </c>
      <c r="J196" s="370" t="s">
        <v>185</v>
      </c>
      <c r="K196" s="370" t="s">
        <v>185</v>
      </c>
      <c r="L196" s="370" t="s">
        <v>185</v>
      </c>
      <c r="M196" s="370" t="s">
        <v>185</v>
      </c>
      <c r="N196" s="370" t="s">
        <v>185</v>
      </c>
      <c r="O196" s="370" t="s">
        <v>185</v>
      </c>
      <c r="P196" s="370" t="s">
        <v>185</v>
      </c>
      <c r="Q196" s="402" t="s">
        <v>185</v>
      </c>
    </row>
    <row r="197" spans="2:17" hidden="1" x14ac:dyDescent="0.3">
      <c r="B197" s="297" t="s">
        <v>183</v>
      </c>
      <c r="C197" s="305"/>
      <c r="D197" s="382"/>
      <c r="E197" s="382"/>
      <c r="F197" s="382"/>
      <c r="G197" s="382"/>
      <c r="H197" s="382"/>
      <c r="I197" s="382"/>
      <c r="J197" s="382"/>
      <c r="K197" s="382"/>
      <c r="L197" s="382"/>
      <c r="M197" s="382"/>
      <c r="N197" s="382"/>
      <c r="O197" s="382"/>
      <c r="P197" s="382"/>
      <c r="Q197" s="383"/>
    </row>
    <row r="198" spans="2:17" ht="21" hidden="1" customHeight="1" x14ac:dyDescent="0.3">
      <c r="B198" s="296" t="s">
        <v>175</v>
      </c>
      <c r="C198" s="298"/>
      <c r="D198" s="380"/>
      <c r="E198" s="380"/>
      <c r="F198" s="380"/>
      <c r="G198" s="380"/>
      <c r="H198" s="380"/>
      <c r="I198" s="380"/>
      <c r="J198" s="380"/>
      <c r="K198" s="380"/>
      <c r="L198" s="380"/>
      <c r="M198" s="380"/>
      <c r="N198" s="380"/>
      <c r="O198" s="380"/>
      <c r="P198" s="380"/>
      <c r="Q198" s="381"/>
    </row>
    <row r="199" spans="2:17" ht="21" hidden="1" customHeight="1" x14ac:dyDescent="0.3">
      <c r="B199" s="310" t="s">
        <v>178</v>
      </c>
      <c r="C199" s="313"/>
      <c r="D199" s="409" t="s">
        <v>223</v>
      </c>
      <c r="E199" s="373" t="e">
        <f>AVERAGE(F199:Q199)</f>
        <v>#DIV/0!</v>
      </c>
      <c r="F199" s="387"/>
      <c r="G199" s="386"/>
      <c r="H199" s="386"/>
      <c r="I199" s="386"/>
      <c r="J199" s="386"/>
      <c r="K199" s="386"/>
      <c r="L199" s="386"/>
      <c r="M199" s="362"/>
      <c r="N199" s="362"/>
      <c r="O199" s="362"/>
      <c r="P199" s="362"/>
      <c r="Q199" s="366"/>
    </row>
    <row r="200" spans="2:17" ht="21" hidden="1" customHeight="1" x14ac:dyDescent="0.3">
      <c r="B200" s="311" t="s">
        <v>177</v>
      </c>
      <c r="C200" s="313"/>
      <c r="D200" s="410" t="s">
        <v>224</v>
      </c>
      <c r="E200" s="374" t="e">
        <f>AVERAGE(F200:Q200)</f>
        <v>#DIV/0!</v>
      </c>
      <c r="F200" s="363"/>
      <c r="G200" s="364"/>
      <c r="H200" s="364"/>
      <c r="I200" s="364"/>
      <c r="J200" s="364"/>
      <c r="K200" s="364"/>
      <c r="L200" s="364"/>
      <c r="M200" s="364"/>
      <c r="N200" s="364"/>
      <c r="O200" s="364"/>
      <c r="P200" s="364"/>
      <c r="Q200" s="367"/>
    </row>
    <row r="201" spans="2:17" ht="21" hidden="1" customHeight="1" x14ac:dyDescent="0.3">
      <c r="B201" s="311" t="s">
        <v>180</v>
      </c>
      <c r="C201" s="313"/>
      <c r="D201" s="410" t="s">
        <v>225</v>
      </c>
      <c r="E201" s="374" t="e">
        <f>((ROUND(E199/E200,0)&amp;" : "&amp;"1"))</f>
        <v>#DIV/0!</v>
      </c>
      <c r="F201" s="363" t="e">
        <f>((ROUND(F199/F200,0)&amp;" : "&amp;"1"))</f>
        <v>#DIV/0!</v>
      </c>
      <c r="G201" s="363" t="e">
        <f t="shared" ref="G201:Q201" si="19">((ROUND(G199/G200,0)&amp;" : "&amp;"1"))</f>
        <v>#DIV/0!</v>
      </c>
      <c r="H201" s="363" t="e">
        <f t="shared" si="19"/>
        <v>#DIV/0!</v>
      </c>
      <c r="I201" s="363" t="e">
        <f t="shared" si="19"/>
        <v>#DIV/0!</v>
      </c>
      <c r="J201" s="363" t="e">
        <f t="shared" si="19"/>
        <v>#DIV/0!</v>
      </c>
      <c r="K201" s="363" t="e">
        <f t="shared" si="19"/>
        <v>#DIV/0!</v>
      </c>
      <c r="L201" s="363" t="e">
        <f t="shared" si="19"/>
        <v>#DIV/0!</v>
      </c>
      <c r="M201" s="363" t="e">
        <f t="shared" si="19"/>
        <v>#DIV/0!</v>
      </c>
      <c r="N201" s="363" t="e">
        <f t="shared" si="19"/>
        <v>#DIV/0!</v>
      </c>
      <c r="O201" s="363" t="e">
        <f t="shared" si="19"/>
        <v>#DIV/0!</v>
      </c>
      <c r="P201" s="363" t="e">
        <f t="shared" si="19"/>
        <v>#DIV/0!</v>
      </c>
      <c r="Q201" s="401" t="e">
        <f t="shared" si="19"/>
        <v>#DIV/0!</v>
      </c>
    </row>
    <row r="202" spans="2:17" ht="21" hidden="1" customHeight="1" x14ac:dyDescent="0.3">
      <c r="B202" s="312" t="s">
        <v>179</v>
      </c>
      <c r="C202" s="313"/>
      <c r="D202" s="411" t="s">
        <v>186</v>
      </c>
      <c r="E202" s="369" t="s">
        <v>186</v>
      </c>
      <c r="F202" s="370" t="s">
        <v>186</v>
      </c>
      <c r="G202" s="370" t="s">
        <v>186</v>
      </c>
      <c r="H202" s="370" t="s">
        <v>186</v>
      </c>
      <c r="I202" s="370" t="s">
        <v>186</v>
      </c>
      <c r="J202" s="370" t="s">
        <v>186</v>
      </c>
      <c r="K202" s="370" t="s">
        <v>186</v>
      </c>
      <c r="L202" s="370" t="s">
        <v>186</v>
      </c>
      <c r="M202" s="370" t="s">
        <v>186</v>
      </c>
      <c r="N202" s="370" t="s">
        <v>186</v>
      </c>
      <c r="O202" s="370" t="s">
        <v>186</v>
      </c>
      <c r="P202" s="370" t="s">
        <v>186</v>
      </c>
      <c r="Q202" s="402" t="s">
        <v>186</v>
      </c>
    </row>
    <row r="203" spans="2:17" ht="21" hidden="1" customHeight="1" x14ac:dyDescent="0.3">
      <c r="B203" s="296" t="s">
        <v>176</v>
      </c>
      <c r="C203" s="298"/>
      <c r="D203" s="380"/>
      <c r="E203" s="380"/>
      <c r="F203" s="380"/>
      <c r="G203" s="380"/>
      <c r="H203" s="380"/>
      <c r="I203" s="380"/>
      <c r="J203" s="380"/>
      <c r="K203" s="380"/>
      <c r="L203" s="380"/>
      <c r="M203" s="380"/>
      <c r="N203" s="380"/>
      <c r="O203" s="380"/>
      <c r="P203" s="380"/>
      <c r="Q203" s="381"/>
    </row>
    <row r="204" spans="2:17" ht="21" hidden="1" customHeight="1" x14ac:dyDescent="0.3">
      <c r="B204" s="310" t="s">
        <v>178</v>
      </c>
      <c r="C204" s="313"/>
      <c r="D204" s="409" t="s">
        <v>226</v>
      </c>
      <c r="E204" s="373" t="e">
        <f>AVERAGE(F204:Q204)</f>
        <v>#DIV/0!</v>
      </c>
      <c r="F204" s="361"/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66"/>
    </row>
    <row r="205" spans="2:17" ht="21" hidden="1" customHeight="1" x14ac:dyDescent="0.3">
      <c r="B205" s="311" t="s">
        <v>177</v>
      </c>
      <c r="C205" s="313"/>
      <c r="D205" s="410" t="s">
        <v>227</v>
      </c>
      <c r="E205" s="374" t="e">
        <f>AVERAGE(F205:Q205)</f>
        <v>#DIV/0!</v>
      </c>
      <c r="F205" s="363"/>
      <c r="G205" s="364"/>
      <c r="H205" s="364"/>
      <c r="I205" s="364"/>
      <c r="J205" s="364"/>
      <c r="K205" s="364"/>
      <c r="L205" s="364"/>
      <c r="M205" s="364"/>
      <c r="N205" s="364"/>
      <c r="O205" s="364"/>
      <c r="P205" s="364"/>
      <c r="Q205" s="367"/>
    </row>
    <row r="206" spans="2:17" ht="21" hidden="1" customHeight="1" x14ac:dyDescent="0.3">
      <c r="B206" s="311" t="s">
        <v>180</v>
      </c>
      <c r="C206" s="313"/>
      <c r="D206" s="410" t="s">
        <v>222</v>
      </c>
      <c r="E206" s="374" t="e">
        <f>((ROUND(E204/E205,0)&amp;" : "&amp;"1"))</f>
        <v>#DIV/0!</v>
      </c>
      <c r="F206" s="363" t="e">
        <f>((ROUND(F204/F205,0)&amp;" : "&amp;"1"))</f>
        <v>#DIV/0!</v>
      </c>
      <c r="G206" s="363" t="e">
        <f t="shared" ref="G206:Q206" si="20">((ROUND(G204/G205,0)&amp;" : "&amp;"1"))</f>
        <v>#DIV/0!</v>
      </c>
      <c r="H206" s="363" t="e">
        <f t="shared" si="20"/>
        <v>#DIV/0!</v>
      </c>
      <c r="I206" s="363" t="e">
        <f t="shared" si="20"/>
        <v>#DIV/0!</v>
      </c>
      <c r="J206" s="363" t="e">
        <f t="shared" si="20"/>
        <v>#DIV/0!</v>
      </c>
      <c r="K206" s="363" t="e">
        <f t="shared" si="20"/>
        <v>#DIV/0!</v>
      </c>
      <c r="L206" s="363" t="e">
        <f t="shared" si="20"/>
        <v>#DIV/0!</v>
      </c>
      <c r="M206" s="363" t="e">
        <f t="shared" si="20"/>
        <v>#DIV/0!</v>
      </c>
      <c r="N206" s="363" t="e">
        <f t="shared" si="20"/>
        <v>#DIV/0!</v>
      </c>
      <c r="O206" s="363" t="e">
        <f t="shared" si="20"/>
        <v>#DIV/0!</v>
      </c>
      <c r="P206" s="363" t="e">
        <f t="shared" si="20"/>
        <v>#DIV/0!</v>
      </c>
      <c r="Q206" s="401" t="e">
        <f t="shared" si="20"/>
        <v>#DIV/0!</v>
      </c>
    </row>
    <row r="207" spans="2:17" ht="21" hidden="1" customHeight="1" x14ac:dyDescent="0.3">
      <c r="B207" s="316" t="s">
        <v>179</v>
      </c>
      <c r="C207" s="317"/>
      <c r="D207" s="412" t="s">
        <v>186</v>
      </c>
      <c r="E207" s="376" t="s">
        <v>186</v>
      </c>
      <c r="F207" s="377" t="s">
        <v>186</v>
      </c>
      <c r="G207" s="377" t="s">
        <v>186</v>
      </c>
      <c r="H207" s="377" t="s">
        <v>186</v>
      </c>
      <c r="I207" s="377" t="s">
        <v>186</v>
      </c>
      <c r="J207" s="377" t="s">
        <v>186</v>
      </c>
      <c r="K207" s="377" t="s">
        <v>186</v>
      </c>
      <c r="L207" s="377" t="s">
        <v>186</v>
      </c>
      <c r="M207" s="377" t="s">
        <v>186</v>
      </c>
      <c r="N207" s="377" t="s">
        <v>186</v>
      </c>
      <c r="O207" s="377" t="s">
        <v>186</v>
      </c>
      <c r="P207" s="377" t="s">
        <v>186</v>
      </c>
      <c r="Q207" s="403" t="s">
        <v>186</v>
      </c>
    </row>
    <row r="208" spans="2:17" hidden="1" x14ac:dyDescent="0.3">
      <c r="B208" s="297" t="s">
        <v>43</v>
      </c>
      <c r="C208" s="305"/>
      <c r="D208" s="382"/>
      <c r="E208" s="305"/>
      <c r="F208" s="305"/>
      <c r="G208" s="305"/>
      <c r="H208" s="305"/>
      <c r="I208" s="305"/>
      <c r="J208" s="305"/>
      <c r="K208" s="305"/>
      <c r="L208" s="305"/>
      <c r="M208" s="305"/>
      <c r="N208" s="305"/>
      <c r="O208" s="305"/>
      <c r="P208" s="305"/>
      <c r="Q208" s="306"/>
    </row>
    <row r="209" spans="2:17" ht="21" hidden="1" customHeight="1" x14ac:dyDescent="0.3">
      <c r="B209" s="296" t="s">
        <v>44</v>
      </c>
      <c r="C209" s="298"/>
      <c r="D209" s="380"/>
      <c r="E209" s="298"/>
      <c r="F209" s="298"/>
      <c r="G209" s="298"/>
      <c r="H209" s="298"/>
      <c r="I209" s="298"/>
      <c r="J209" s="298"/>
      <c r="K209" s="298"/>
      <c r="L209" s="298"/>
      <c r="M209" s="298"/>
      <c r="N209" s="298"/>
      <c r="O209" s="298"/>
      <c r="P209" s="298"/>
      <c r="Q209" s="300"/>
    </row>
    <row r="210" spans="2:17" ht="21" hidden="1" customHeight="1" x14ac:dyDescent="0.3">
      <c r="B210" s="310" t="s">
        <v>178</v>
      </c>
      <c r="C210" s="313"/>
      <c r="D210" s="409" t="s">
        <v>228</v>
      </c>
      <c r="E210" s="373" t="e">
        <f>AVERAGE(F210:Q210)</f>
        <v>#DIV/0!</v>
      </c>
      <c r="F210" s="361"/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66"/>
    </row>
    <row r="211" spans="2:17" ht="21" hidden="1" customHeight="1" x14ac:dyDescent="0.3">
      <c r="B211" s="311" t="s">
        <v>177</v>
      </c>
      <c r="C211" s="313"/>
      <c r="D211" s="410" t="s">
        <v>210</v>
      </c>
      <c r="E211" s="374" t="e">
        <f>AVERAGE(F211:Q211)</f>
        <v>#DIV/0!</v>
      </c>
      <c r="F211" s="363"/>
      <c r="G211" s="364"/>
      <c r="H211" s="364"/>
      <c r="I211" s="364"/>
      <c r="J211" s="364"/>
      <c r="K211" s="364"/>
      <c r="L211" s="364"/>
      <c r="M211" s="364"/>
      <c r="N211" s="364"/>
      <c r="O211" s="364"/>
      <c r="P211" s="364"/>
      <c r="Q211" s="367"/>
    </row>
    <row r="212" spans="2:17" ht="21" hidden="1" customHeight="1" x14ac:dyDescent="0.3">
      <c r="B212" s="311" t="s">
        <v>180</v>
      </c>
      <c r="C212" s="313"/>
      <c r="D212" s="410" t="s">
        <v>229</v>
      </c>
      <c r="E212" s="374" t="e">
        <f>((ROUND(E210/E211,0)&amp;" : "&amp;"1"))</f>
        <v>#DIV/0!</v>
      </c>
      <c r="F212" s="363" t="e">
        <f>((ROUND(F210/F211,0)&amp;" : "&amp;"1"))</f>
        <v>#DIV/0!</v>
      </c>
      <c r="G212" s="363" t="e">
        <f t="shared" ref="G212:Q212" si="21">((ROUND(G210/G211,0)&amp;" : "&amp;"1"))</f>
        <v>#DIV/0!</v>
      </c>
      <c r="H212" s="363" t="e">
        <f t="shared" si="21"/>
        <v>#DIV/0!</v>
      </c>
      <c r="I212" s="363" t="e">
        <f t="shared" si="21"/>
        <v>#DIV/0!</v>
      </c>
      <c r="J212" s="363" t="e">
        <f t="shared" si="21"/>
        <v>#DIV/0!</v>
      </c>
      <c r="K212" s="363" t="e">
        <f t="shared" si="21"/>
        <v>#DIV/0!</v>
      </c>
      <c r="L212" s="363" t="e">
        <f t="shared" si="21"/>
        <v>#DIV/0!</v>
      </c>
      <c r="M212" s="363" t="e">
        <f t="shared" si="21"/>
        <v>#DIV/0!</v>
      </c>
      <c r="N212" s="363" t="e">
        <f t="shared" si="21"/>
        <v>#DIV/0!</v>
      </c>
      <c r="O212" s="363" t="e">
        <f t="shared" si="21"/>
        <v>#DIV/0!</v>
      </c>
      <c r="P212" s="363" t="e">
        <f t="shared" si="21"/>
        <v>#DIV/0!</v>
      </c>
      <c r="Q212" s="367" t="e">
        <f t="shared" si="21"/>
        <v>#DIV/0!</v>
      </c>
    </row>
    <row r="213" spans="2:17" ht="21" hidden="1" customHeight="1" x14ac:dyDescent="0.3">
      <c r="B213" s="312" t="s">
        <v>179</v>
      </c>
      <c r="C213" s="313"/>
      <c r="D213" s="411" t="s">
        <v>187</v>
      </c>
      <c r="E213" s="375" t="s">
        <v>187</v>
      </c>
      <c r="F213" s="365" t="s">
        <v>187</v>
      </c>
      <c r="G213" s="365" t="s">
        <v>187</v>
      </c>
      <c r="H213" s="365" t="s">
        <v>187</v>
      </c>
      <c r="I213" s="365" t="s">
        <v>187</v>
      </c>
      <c r="J213" s="365" t="s">
        <v>187</v>
      </c>
      <c r="K213" s="365" t="s">
        <v>187</v>
      </c>
      <c r="L213" s="365" t="s">
        <v>187</v>
      </c>
      <c r="M213" s="365" t="s">
        <v>187</v>
      </c>
      <c r="N213" s="365" t="s">
        <v>187</v>
      </c>
      <c r="O213" s="365" t="s">
        <v>187</v>
      </c>
      <c r="P213" s="365" t="s">
        <v>187</v>
      </c>
      <c r="Q213" s="368" t="s">
        <v>187</v>
      </c>
    </row>
    <row r="214" spans="2:17" ht="21" hidden="1" customHeight="1" x14ac:dyDescent="0.3">
      <c r="B214" s="296" t="s">
        <v>114</v>
      </c>
      <c r="C214" s="298"/>
      <c r="D214" s="380"/>
      <c r="E214" s="298"/>
      <c r="F214" s="298"/>
      <c r="G214" s="298"/>
      <c r="H214" s="298"/>
      <c r="I214" s="298"/>
      <c r="J214" s="298"/>
      <c r="K214" s="298"/>
      <c r="L214" s="298"/>
      <c r="M214" s="298"/>
      <c r="N214" s="298"/>
      <c r="O214" s="298"/>
      <c r="P214" s="298"/>
      <c r="Q214" s="300"/>
    </row>
    <row r="215" spans="2:17" ht="21" hidden="1" customHeight="1" x14ac:dyDescent="0.3">
      <c r="B215" s="310" t="s">
        <v>178</v>
      </c>
      <c r="C215" s="313"/>
      <c r="D215" s="409" t="s">
        <v>230</v>
      </c>
      <c r="E215" s="373" t="e">
        <f>AVERAGE(F215:Q215)</f>
        <v>#DIV/0!</v>
      </c>
      <c r="F215" s="361"/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66"/>
    </row>
    <row r="216" spans="2:17" ht="21" hidden="1" customHeight="1" x14ac:dyDescent="0.3">
      <c r="B216" s="311" t="s">
        <v>177</v>
      </c>
      <c r="C216" s="313"/>
      <c r="D216" s="410" t="s">
        <v>231</v>
      </c>
      <c r="E216" s="374" t="e">
        <f>AVERAGE(F216:Q216)</f>
        <v>#DIV/0!</v>
      </c>
      <c r="F216" s="363"/>
      <c r="G216" s="364"/>
      <c r="H216" s="364"/>
      <c r="I216" s="364"/>
      <c r="J216" s="364"/>
      <c r="K216" s="364"/>
      <c r="L216" s="364"/>
      <c r="M216" s="364"/>
      <c r="N216" s="364"/>
      <c r="O216" s="364"/>
      <c r="P216" s="364"/>
      <c r="Q216" s="367"/>
    </row>
    <row r="217" spans="2:17" ht="21" hidden="1" customHeight="1" x14ac:dyDescent="0.3">
      <c r="B217" s="311" t="s">
        <v>180</v>
      </c>
      <c r="C217" s="313"/>
      <c r="D217" s="410" t="s">
        <v>187</v>
      </c>
      <c r="E217" s="374" t="e">
        <f>((ROUND(E215/E216,0)&amp;" : "&amp;"1"))</f>
        <v>#DIV/0!</v>
      </c>
      <c r="F217" s="363" t="e">
        <f>((ROUND(F215/F216,0)&amp;" : "&amp;"1"))</f>
        <v>#DIV/0!</v>
      </c>
      <c r="G217" s="363" t="e">
        <f t="shared" ref="G217:Q217" si="22">((ROUND(G215/G216,0)&amp;" : "&amp;"1"))</f>
        <v>#DIV/0!</v>
      </c>
      <c r="H217" s="363" t="e">
        <f t="shared" si="22"/>
        <v>#DIV/0!</v>
      </c>
      <c r="I217" s="363" t="e">
        <f t="shared" si="22"/>
        <v>#DIV/0!</v>
      </c>
      <c r="J217" s="363" t="e">
        <f t="shared" si="22"/>
        <v>#DIV/0!</v>
      </c>
      <c r="K217" s="363" t="e">
        <f t="shared" si="22"/>
        <v>#DIV/0!</v>
      </c>
      <c r="L217" s="363" t="e">
        <f t="shared" si="22"/>
        <v>#DIV/0!</v>
      </c>
      <c r="M217" s="363" t="e">
        <f t="shared" si="22"/>
        <v>#DIV/0!</v>
      </c>
      <c r="N217" s="363" t="e">
        <f t="shared" si="22"/>
        <v>#DIV/0!</v>
      </c>
      <c r="O217" s="363" t="e">
        <f t="shared" si="22"/>
        <v>#DIV/0!</v>
      </c>
      <c r="P217" s="363" t="e">
        <f t="shared" si="22"/>
        <v>#DIV/0!</v>
      </c>
      <c r="Q217" s="367" t="e">
        <f t="shared" si="22"/>
        <v>#DIV/0!</v>
      </c>
    </row>
    <row r="218" spans="2:17" ht="21" hidden="1" customHeight="1" x14ac:dyDescent="0.3">
      <c r="B218" s="312" t="s">
        <v>179</v>
      </c>
      <c r="C218" s="313"/>
      <c r="D218" s="411" t="s">
        <v>188</v>
      </c>
      <c r="E218" s="375" t="s">
        <v>188</v>
      </c>
      <c r="F218" s="365" t="s">
        <v>188</v>
      </c>
      <c r="G218" s="365" t="s">
        <v>188</v>
      </c>
      <c r="H218" s="365" t="s">
        <v>188</v>
      </c>
      <c r="I218" s="365" t="s">
        <v>188</v>
      </c>
      <c r="J218" s="365" t="s">
        <v>188</v>
      </c>
      <c r="K218" s="365" t="s">
        <v>188</v>
      </c>
      <c r="L218" s="365" t="s">
        <v>188</v>
      </c>
      <c r="M218" s="365" t="s">
        <v>188</v>
      </c>
      <c r="N218" s="365" t="s">
        <v>188</v>
      </c>
      <c r="O218" s="365" t="s">
        <v>188</v>
      </c>
      <c r="P218" s="365" t="s">
        <v>188</v>
      </c>
      <c r="Q218" s="368" t="s">
        <v>188</v>
      </c>
    </row>
    <row r="219" spans="2:17" ht="21" hidden="1" customHeight="1" x14ac:dyDescent="0.3">
      <c r="B219" s="296" t="s">
        <v>203</v>
      </c>
      <c r="C219" s="298"/>
      <c r="D219" s="380"/>
      <c r="E219" s="298"/>
      <c r="F219" s="298"/>
      <c r="G219" s="298"/>
      <c r="H219" s="298"/>
      <c r="I219" s="298"/>
      <c r="J219" s="298"/>
      <c r="K219" s="298"/>
      <c r="L219" s="298"/>
      <c r="M219" s="298"/>
      <c r="N219" s="298"/>
      <c r="O219" s="298"/>
      <c r="P219" s="298"/>
      <c r="Q219" s="300"/>
    </row>
    <row r="220" spans="2:17" ht="21" hidden="1" customHeight="1" x14ac:dyDescent="0.3">
      <c r="B220" s="310" t="s">
        <v>178</v>
      </c>
      <c r="C220" s="315"/>
      <c r="D220" s="409" t="s">
        <v>232</v>
      </c>
      <c r="E220" s="373" t="e">
        <f>AVERAGE(F220:Q220)</f>
        <v>#DIV/0!</v>
      </c>
      <c r="F220" s="361"/>
      <c r="G220" s="362"/>
      <c r="H220" s="362"/>
      <c r="I220" s="362"/>
      <c r="J220" s="388"/>
      <c r="K220" s="362"/>
      <c r="L220" s="362"/>
      <c r="M220" s="362"/>
      <c r="N220" s="362"/>
      <c r="O220" s="362"/>
      <c r="P220" s="362"/>
      <c r="Q220" s="366"/>
    </row>
    <row r="221" spans="2:17" ht="21" hidden="1" customHeight="1" x14ac:dyDescent="0.3">
      <c r="B221" s="311" t="s">
        <v>177</v>
      </c>
      <c r="C221" s="313"/>
      <c r="D221" s="410" t="s">
        <v>218</v>
      </c>
      <c r="E221" s="374" t="e">
        <f>AVERAGE(F221:Q221)</f>
        <v>#DIV/0!</v>
      </c>
      <c r="F221" s="363"/>
      <c r="G221" s="364"/>
      <c r="H221" s="364"/>
      <c r="I221" s="364"/>
      <c r="J221" s="388"/>
      <c r="K221" s="364"/>
      <c r="L221" s="364"/>
      <c r="M221" s="364"/>
      <c r="N221" s="364"/>
      <c r="O221" s="364"/>
      <c r="P221" s="364"/>
      <c r="Q221" s="367"/>
    </row>
    <row r="222" spans="2:17" ht="21" hidden="1" customHeight="1" x14ac:dyDescent="0.3">
      <c r="B222" s="311" t="s">
        <v>180</v>
      </c>
      <c r="C222" s="313"/>
      <c r="D222" s="410" t="s">
        <v>233</v>
      </c>
      <c r="E222" s="374" t="e">
        <f>((ROUND(E220/E221,0)&amp;" : "&amp;"1"))</f>
        <v>#DIV/0!</v>
      </c>
      <c r="F222" s="363" t="e">
        <f>((ROUND(F220/F221,0)&amp;" : "&amp;"1"))</f>
        <v>#DIV/0!</v>
      </c>
      <c r="G222" s="363" t="e">
        <f t="shared" ref="G222:Q222" si="23">((ROUND(G220/G221,0)&amp;" : "&amp;"1"))</f>
        <v>#DIV/0!</v>
      </c>
      <c r="H222" s="363" t="e">
        <f t="shared" si="23"/>
        <v>#DIV/0!</v>
      </c>
      <c r="I222" s="363" t="e">
        <f t="shared" si="23"/>
        <v>#DIV/0!</v>
      </c>
      <c r="J222" s="363" t="e">
        <f t="shared" si="23"/>
        <v>#DIV/0!</v>
      </c>
      <c r="K222" s="363" t="e">
        <f t="shared" si="23"/>
        <v>#DIV/0!</v>
      </c>
      <c r="L222" s="363" t="e">
        <f t="shared" si="23"/>
        <v>#DIV/0!</v>
      </c>
      <c r="M222" s="363" t="e">
        <f t="shared" si="23"/>
        <v>#DIV/0!</v>
      </c>
      <c r="N222" s="363" t="e">
        <f t="shared" si="23"/>
        <v>#DIV/0!</v>
      </c>
      <c r="O222" s="363" t="e">
        <f t="shared" si="23"/>
        <v>#DIV/0!</v>
      </c>
      <c r="P222" s="363" t="e">
        <f t="shared" si="23"/>
        <v>#DIV/0!</v>
      </c>
      <c r="Q222" s="401" t="e">
        <f t="shared" si="23"/>
        <v>#DIV/0!</v>
      </c>
    </row>
    <row r="223" spans="2:17" ht="21" hidden="1" customHeight="1" x14ac:dyDescent="0.3">
      <c r="B223" s="312" t="s">
        <v>179</v>
      </c>
      <c r="C223" s="313"/>
      <c r="D223" s="411" t="s">
        <v>189</v>
      </c>
      <c r="E223" s="375" t="s">
        <v>189</v>
      </c>
      <c r="F223" s="365" t="s">
        <v>189</v>
      </c>
      <c r="G223" s="365" t="s">
        <v>189</v>
      </c>
      <c r="H223" s="365" t="s">
        <v>189</v>
      </c>
      <c r="I223" s="365" t="s">
        <v>189</v>
      </c>
      <c r="J223" s="365" t="s">
        <v>189</v>
      </c>
      <c r="K223" s="365" t="s">
        <v>189</v>
      </c>
      <c r="L223" s="365" t="s">
        <v>189</v>
      </c>
      <c r="M223" s="365" t="s">
        <v>189</v>
      </c>
      <c r="N223" s="365" t="s">
        <v>189</v>
      </c>
      <c r="O223" s="365" t="s">
        <v>189</v>
      </c>
      <c r="P223" s="365" t="s">
        <v>189</v>
      </c>
      <c r="Q223" s="404" t="s">
        <v>189</v>
      </c>
    </row>
    <row r="224" spans="2:17" ht="21" hidden="1" customHeight="1" x14ac:dyDescent="0.3">
      <c r="B224" s="296" t="s">
        <v>201</v>
      </c>
      <c r="C224" s="298"/>
      <c r="D224" s="380"/>
      <c r="E224" s="299"/>
      <c r="F224" s="298"/>
      <c r="G224" s="298"/>
      <c r="H224" s="298"/>
      <c r="I224" s="1142"/>
      <c r="J224" s="1142"/>
      <c r="K224" s="298"/>
      <c r="L224" s="298"/>
      <c r="M224" s="298"/>
      <c r="N224" s="298"/>
      <c r="O224" s="298"/>
      <c r="P224" s="298"/>
      <c r="Q224" s="300"/>
    </row>
    <row r="225" spans="2:17" ht="21" hidden="1" customHeight="1" x14ac:dyDescent="0.3">
      <c r="B225" s="310" t="s">
        <v>178</v>
      </c>
      <c r="C225" s="313"/>
      <c r="D225" s="409" t="s">
        <v>234</v>
      </c>
      <c r="E225" s="373" t="e">
        <f>AVERAGE(F225:L225)</f>
        <v>#DIV/0!</v>
      </c>
      <c r="F225" s="361"/>
      <c r="G225" s="362"/>
      <c r="H225" s="362"/>
      <c r="I225" s="362"/>
      <c r="J225" s="362"/>
      <c r="K225" s="362"/>
      <c r="L225" s="362"/>
      <c r="M225" s="362"/>
      <c r="N225" s="362"/>
      <c r="O225" s="362"/>
      <c r="P225" s="362"/>
      <c r="Q225" s="366"/>
    </row>
    <row r="226" spans="2:17" ht="21" hidden="1" customHeight="1" x14ac:dyDescent="0.3">
      <c r="B226" s="311" t="s">
        <v>177</v>
      </c>
      <c r="C226" s="313"/>
      <c r="D226" s="410" t="s">
        <v>235</v>
      </c>
      <c r="E226" s="374" t="e">
        <f>AVERAGE(F226:Q226)</f>
        <v>#DIV/0!</v>
      </c>
      <c r="F226" s="363"/>
      <c r="G226" s="364"/>
      <c r="H226" s="364"/>
      <c r="I226" s="364"/>
      <c r="J226" s="364"/>
      <c r="K226" s="364"/>
      <c r="L226" s="364"/>
      <c r="M226" s="364"/>
      <c r="N226" s="364"/>
      <c r="O226" s="364"/>
      <c r="P226" s="364"/>
      <c r="Q226" s="367"/>
    </row>
    <row r="227" spans="2:17" ht="21" hidden="1" customHeight="1" x14ac:dyDescent="0.3">
      <c r="B227" s="311" t="s">
        <v>180</v>
      </c>
      <c r="C227" s="313"/>
      <c r="D227" s="410" t="s">
        <v>236</v>
      </c>
      <c r="E227" s="374" t="e">
        <f>((ROUND(E225/E226,0)&amp;" : "&amp;"1"))</f>
        <v>#DIV/0!</v>
      </c>
      <c r="F227" s="363" t="e">
        <f>((ROUND(F225/F226,0)&amp;" : "&amp;"1"))</f>
        <v>#DIV/0!</v>
      </c>
      <c r="G227" s="363" t="e">
        <f t="shared" ref="G227:Q227" si="24">((ROUND(G225/G226,0)&amp;" : "&amp;"1"))</f>
        <v>#DIV/0!</v>
      </c>
      <c r="H227" s="363" t="e">
        <f t="shared" si="24"/>
        <v>#DIV/0!</v>
      </c>
      <c r="I227" s="363" t="e">
        <f t="shared" si="24"/>
        <v>#DIV/0!</v>
      </c>
      <c r="J227" s="363" t="e">
        <f t="shared" si="24"/>
        <v>#DIV/0!</v>
      </c>
      <c r="K227" s="363" t="e">
        <f t="shared" si="24"/>
        <v>#DIV/0!</v>
      </c>
      <c r="L227" s="363" t="e">
        <f t="shared" si="24"/>
        <v>#DIV/0!</v>
      </c>
      <c r="M227" s="363" t="e">
        <f t="shared" si="24"/>
        <v>#DIV/0!</v>
      </c>
      <c r="N227" s="363" t="e">
        <f t="shared" si="24"/>
        <v>#DIV/0!</v>
      </c>
      <c r="O227" s="363" t="e">
        <f t="shared" si="24"/>
        <v>#DIV/0!</v>
      </c>
      <c r="P227" s="363" t="e">
        <f t="shared" si="24"/>
        <v>#DIV/0!</v>
      </c>
      <c r="Q227" s="401" t="e">
        <f t="shared" si="24"/>
        <v>#DIV/0!</v>
      </c>
    </row>
    <row r="228" spans="2:17" ht="21" hidden="1" customHeight="1" x14ac:dyDescent="0.3">
      <c r="B228" s="312" t="s">
        <v>179</v>
      </c>
      <c r="C228" s="313"/>
      <c r="D228" s="411" t="s">
        <v>211</v>
      </c>
      <c r="E228" s="369" t="s">
        <v>211</v>
      </c>
      <c r="F228" s="370" t="s">
        <v>211</v>
      </c>
      <c r="G228" s="370" t="s">
        <v>211</v>
      </c>
      <c r="H228" s="370" t="s">
        <v>211</v>
      </c>
      <c r="I228" s="370" t="s">
        <v>211</v>
      </c>
      <c r="J228" s="370" t="s">
        <v>211</v>
      </c>
      <c r="K228" s="370" t="s">
        <v>211</v>
      </c>
      <c r="L228" s="370" t="s">
        <v>211</v>
      </c>
      <c r="M228" s="370" t="s">
        <v>211</v>
      </c>
      <c r="N228" s="370" t="s">
        <v>211</v>
      </c>
      <c r="O228" s="370" t="s">
        <v>211</v>
      </c>
      <c r="P228" s="370" t="s">
        <v>211</v>
      </c>
      <c r="Q228" s="402" t="s">
        <v>211</v>
      </c>
    </row>
    <row r="229" spans="2:17" ht="21" hidden="1" customHeight="1" x14ac:dyDescent="0.3">
      <c r="B229" s="296" t="s">
        <v>163</v>
      </c>
      <c r="C229" s="298"/>
      <c r="D229" s="380"/>
      <c r="E229" s="299"/>
      <c r="F229" s="298"/>
      <c r="G229" s="298"/>
      <c r="H229" s="298"/>
      <c r="I229" s="1142"/>
      <c r="J229" s="1142"/>
      <c r="K229" s="298"/>
      <c r="L229" s="298"/>
      <c r="M229" s="298"/>
      <c r="N229" s="298"/>
      <c r="O229" s="298"/>
      <c r="P229" s="298"/>
      <c r="Q229" s="300"/>
    </row>
    <row r="230" spans="2:17" ht="21" hidden="1" customHeight="1" x14ac:dyDescent="0.3">
      <c r="B230" s="310" t="s">
        <v>178</v>
      </c>
      <c r="C230" s="313"/>
      <c r="D230" s="409" t="s">
        <v>237</v>
      </c>
      <c r="E230" s="373" t="e">
        <f>AVERAGE(F230:Q230)</f>
        <v>#DIV/0!</v>
      </c>
      <c r="F230" s="361"/>
      <c r="G230" s="36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6"/>
    </row>
    <row r="231" spans="2:17" ht="21" hidden="1" customHeight="1" x14ac:dyDescent="0.3">
      <c r="B231" s="311" t="s">
        <v>177</v>
      </c>
      <c r="C231" s="313"/>
      <c r="D231" s="410" t="s">
        <v>227</v>
      </c>
      <c r="E231" s="374" t="e">
        <f>AVERAGE(F231:Q231)</f>
        <v>#DIV/0!</v>
      </c>
      <c r="F231" s="363"/>
      <c r="G231" s="364"/>
      <c r="H231" s="364"/>
      <c r="I231" s="364"/>
      <c r="J231" s="364"/>
      <c r="K231" s="364"/>
      <c r="L231" s="364"/>
      <c r="M231" s="364"/>
      <c r="N231" s="364"/>
      <c r="O231" s="364"/>
      <c r="P231" s="364"/>
      <c r="Q231" s="367"/>
    </row>
    <row r="232" spans="2:17" ht="21" hidden="1" customHeight="1" x14ac:dyDescent="0.3">
      <c r="B232" s="311" t="s">
        <v>180</v>
      </c>
      <c r="C232" s="313"/>
      <c r="D232" s="410" t="s">
        <v>225</v>
      </c>
      <c r="E232" s="374" t="e">
        <f>((ROUND(E230/E231,0)&amp;" : "&amp;"1"))</f>
        <v>#DIV/0!</v>
      </c>
      <c r="F232" s="363" t="e">
        <f>((ROUND(F230/F231,0)&amp;" : "&amp;"1"))</f>
        <v>#DIV/0!</v>
      </c>
      <c r="G232" s="363" t="e">
        <f t="shared" ref="G232:Q232" si="25">((ROUND(G230/G231,0)&amp;" : "&amp;"1"))</f>
        <v>#DIV/0!</v>
      </c>
      <c r="H232" s="363" t="e">
        <f t="shared" si="25"/>
        <v>#DIV/0!</v>
      </c>
      <c r="I232" s="363" t="e">
        <f t="shared" si="25"/>
        <v>#DIV/0!</v>
      </c>
      <c r="J232" s="363" t="e">
        <f t="shared" si="25"/>
        <v>#DIV/0!</v>
      </c>
      <c r="K232" s="363" t="e">
        <f t="shared" si="25"/>
        <v>#DIV/0!</v>
      </c>
      <c r="L232" s="363" t="e">
        <f t="shared" si="25"/>
        <v>#DIV/0!</v>
      </c>
      <c r="M232" s="363" t="e">
        <f t="shared" si="25"/>
        <v>#DIV/0!</v>
      </c>
      <c r="N232" s="363" t="e">
        <f t="shared" si="25"/>
        <v>#DIV/0!</v>
      </c>
      <c r="O232" s="363" t="e">
        <f t="shared" si="25"/>
        <v>#DIV/0!</v>
      </c>
      <c r="P232" s="363" t="e">
        <f t="shared" si="25"/>
        <v>#DIV/0!</v>
      </c>
      <c r="Q232" s="401" t="e">
        <f t="shared" si="25"/>
        <v>#DIV/0!</v>
      </c>
    </row>
    <row r="233" spans="2:17" ht="21" hidden="1" customHeight="1" x14ac:dyDescent="0.3">
      <c r="B233" s="312" t="s">
        <v>179</v>
      </c>
      <c r="C233" s="313"/>
      <c r="D233" s="411" t="s">
        <v>212</v>
      </c>
      <c r="E233" s="369" t="s">
        <v>212</v>
      </c>
      <c r="F233" s="370" t="s">
        <v>212</v>
      </c>
      <c r="G233" s="370" t="s">
        <v>212</v>
      </c>
      <c r="H233" s="370" t="s">
        <v>212</v>
      </c>
      <c r="I233" s="370" t="s">
        <v>212</v>
      </c>
      <c r="J233" s="370" t="s">
        <v>212</v>
      </c>
      <c r="K233" s="370" t="s">
        <v>212</v>
      </c>
      <c r="L233" s="370" t="s">
        <v>212</v>
      </c>
      <c r="M233" s="370" t="s">
        <v>212</v>
      </c>
      <c r="N233" s="370" t="s">
        <v>212</v>
      </c>
      <c r="O233" s="370" t="s">
        <v>212</v>
      </c>
      <c r="P233" s="370" t="s">
        <v>212</v>
      </c>
      <c r="Q233" s="402" t="s">
        <v>212</v>
      </c>
    </row>
    <row r="234" spans="2:17" ht="21" hidden="1" customHeight="1" x14ac:dyDescent="0.3">
      <c r="B234" s="296" t="s">
        <v>202</v>
      </c>
      <c r="C234" s="298"/>
      <c r="D234" s="380"/>
      <c r="E234" s="299"/>
      <c r="F234" s="298"/>
      <c r="G234" s="298"/>
      <c r="H234" s="298"/>
      <c r="I234" s="1142"/>
      <c r="J234" s="1142"/>
      <c r="K234" s="298"/>
      <c r="L234" s="298"/>
      <c r="M234" s="298"/>
      <c r="N234" s="298"/>
      <c r="O234" s="298"/>
      <c r="P234" s="298"/>
      <c r="Q234" s="300"/>
    </row>
    <row r="235" spans="2:17" ht="21" hidden="1" customHeight="1" x14ac:dyDescent="0.3">
      <c r="B235" s="310" t="s">
        <v>178</v>
      </c>
      <c r="C235" s="313"/>
      <c r="D235" s="409" t="s">
        <v>238</v>
      </c>
      <c r="E235" s="373" t="e">
        <f>AVERAGE(F235:Q235)</f>
        <v>#DIV/0!</v>
      </c>
      <c r="F235" s="361"/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66"/>
    </row>
    <row r="236" spans="2:17" ht="21" hidden="1" customHeight="1" x14ac:dyDescent="0.3">
      <c r="B236" s="311" t="s">
        <v>177</v>
      </c>
      <c r="C236" s="313"/>
      <c r="D236" s="410" t="s">
        <v>235</v>
      </c>
      <c r="E236" s="374" t="e">
        <f>AVERAGE(F236:Q236)</f>
        <v>#DIV/0!</v>
      </c>
      <c r="F236" s="363"/>
      <c r="G236" s="364"/>
      <c r="H236" s="364"/>
      <c r="I236" s="364"/>
      <c r="J236" s="364"/>
      <c r="K236" s="364"/>
      <c r="L236" s="364"/>
      <c r="M236" s="364"/>
      <c r="N236" s="364"/>
      <c r="O236" s="364"/>
      <c r="P236" s="364"/>
      <c r="Q236" s="367"/>
    </row>
    <row r="237" spans="2:17" ht="21" hidden="1" customHeight="1" x14ac:dyDescent="0.3">
      <c r="B237" s="311" t="s">
        <v>180</v>
      </c>
      <c r="C237" s="313"/>
      <c r="D237" s="410" t="s">
        <v>236</v>
      </c>
      <c r="E237" s="374" t="e">
        <f>((ROUND(E235/E236,0)&amp;" : "&amp;"1"))</f>
        <v>#DIV/0!</v>
      </c>
      <c r="F237" s="363" t="e">
        <f>((ROUND(F235/F236,0)&amp;" : "&amp;"1"))</f>
        <v>#DIV/0!</v>
      </c>
      <c r="G237" s="363" t="e">
        <f t="shared" ref="G237:Q237" si="26">((ROUND(G235/G236,0)&amp;" : "&amp;"1"))</f>
        <v>#DIV/0!</v>
      </c>
      <c r="H237" s="363" t="e">
        <f t="shared" si="26"/>
        <v>#DIV/0!</v>
      </c>
      <c r="I237" s="363" t="e">
        <f t="shared" si="26"/>
        <v>#DIV/0!</v>
      </c>
      <c r="J237" s="363" t="e">
        <f t="shared" si="26"/>
        <v>#DIV/0!</v>
      </c>
      <c r="K237" s="363" t="e">
        <f t="shared" si="26"/>
        <v>#DIV/0!</v>
      </c>
      <c r="L237" s="363" t="e">
        <f t="shared" si="26"/>
        <v>#DIV/0!</v>
      </c>
      <c r="M237" s="363" t="e">
        <f t="shared" si="26"/>
        <v>#DIV/0!</v>
      </c>
      <c r="N237" s="363" t="e">
        <f t="shared" si="26"/>
        <v>#DIV/0!</v>
      </c>
      <c r="O237" s="363" t="e">
        <f t="shared" si="26"/>
        <v>#DIV/0!</v>
      </c>
      <c r="P237" s="363" t="e">
        <f t="shared" si="26"/>
        <v>#DIV/0!</v>
      </c>
      <c r="Q237" s="401" t="e">
        <f t="shared" si="26"/>
        <v>#DIV/0!</v>
      </c>
    </row>
    <row r="238" spans="2:17" ht="21" hidden="1" customHeight="1" x14ac:dyDescent="0.3">
      <c r="B238" s="316" t="s">
        <v>179</v>
      </c>
      <c r="C238" s="317"/>
      <c r="D238" s="412" t="s">
        <v>211</v>
      </c>
      <c r="E238" s="376" t="s">
        <v>211</v>
      </c>
      <c r="F238" s="377" t="s">
        <v>189</v>
      </c>
      <c r="G238" s="377" t="s">
        <v>189</v>
      </c>
      <c r="H238" s="377" t="s">
        <v>189</v>
      </c>
      <c r="I238" s="377" t="s">
        <v>189</v>
      </c>
      <c r="J238" s="377" t="s">
        <v>189</v>
      </c>
      <c r="K238" s="377" t="s">
        <v>189</v>
      </c>
      <c r="L238" s="377" t="s">
        <v>189</v>
      </c>
      <c r="M238" s="377" t="s">
        <v>189</v>
      </c>
      <c r="N238" s="378" t="s">
        <v>211</v>
      </c>
      <c r="O238" s="378" t="s">
        <v>211</v>
      </c>
      <c r="P238" s="378" t="s">
        <v>211</v>
      </c>
      <c r="Q238" s="379" t="s">
        <v>211</v>
      </c>
    </row>
    <row r="239" spans="2:17" hidden="1" x14ac:dyDescent="0.3"/>
    <row r="240" spans="2:17" hidden="1" x14ac:dyDescent="0.3"/>
  </sheetData>
  <mergeCells count="57">
    <mergeCell ref="I224:J224"/>
    <mergeCell ref="I229:J229"/>
    <mergeCell ref="I234:J234"/>
    <mergeCell ref="C53:D53"/>
    <mergeCell ref="B165:Q165"/>
    <mergeCell ref="B173:Q173"/>
    <mergeCell ref="B175:Q175"/>
    <mergeCell ref="B176:Q176"/>
    <mergeCell ref="C177:D178"/>
    <mergeCell ref="E177:E178"/>
    <mergeCell ref="B143:Q143"/>
    <mergeCell ref="C144:D144"/>
    <mergeCell ref="C145:D146"/>
    <mergeCell ref="B149:Q149"/>
    <mergeCell ref="B150:Q150"/>
    <mergeCell ref="B158:Q158"/>
    <mergeCell ref="C139:D142"/>
    <mergeCell ref="B116:Q116"/>
    <mergeCell ref="B117:Q117"/>
    <mergeCell ref="C118:D125"/>
    <mergeCell ref="B126:Q126"/>
    <mergeCell ref="C127:D130"/>
    <mergeCell ref="E127:E130"/>
    <mergeCell ref="B131:Q131"/>
    <mergeCell ref="C132:D135"/>
    <mergeCell ref="E132:E135"/>
    <mergeCell ref="B137:Q137"/>
    <mergeCell ref="B138:Q138"/>
    <mergeCell ref="B106:Q106"/>
    <mergeCell ref="C52:D52"/>
    <mergeCell ref="C54:D55"/>
    <mergeCell ref="B57:Q57"/>
    <mergeCell ref="B75:Q75"/>
    <mergeCell ref="B76:Q76"/>
    <mergeCell ref="C78:D81"/>
    <mergeCell ref="B82:Q82"/>
    <mergeCell ref="C83:D85"/>
    <mergeCell ref="B86:Q86"/>
    <mergeCell ref="B97:Q97"/>
    <mergeCell ref="B103:Q103"/>
    <mergeCell ref="C69:D69"/>
    <mergeCell ref="C70:D70"/>
    <mergeCell ref="C71:D71"/>
    <mergeCell ref="B64:Q64"/>
    <mergeCell ref="B51:Q51"/>
    <mergeCell ref="C1:D1"/>
    <mergeCell ref="B5:Q5"/>
    <mergeCell ref="B6:Q6"/>
    <mergeCell ref="B7:Q7"/>
    <mergeCell ref="B26:Q26"/>
    <mergeCell ref="C27:D33"/>
    <mergeCell ref="E27:E33"/>
    <mergeCell ref="C34:D35"/>
    <mergeCell ref="C37:D42"/>
    <mergeCell ref="B43:Q43"/>
    <mergeCell ref="C47:D48"/>
    <mergeCell ref="E47:E48"/>
  </mergeCells>
  <pageMargins left="0.25" right="0.25" top="0.75" bottom="0.5" header="0.3" footer="0.3"/>
  <pageSetup scale="40" fitToHeight="0" orientation="landscape" horizontalDpi="4294967295" verticalDpi="4294967295" r:id="rId1"/>
  <headerFooter>
    <oddHeader>&amp;C&amp;"-,Bold"&amp;14Durham County Department of Social Services
Management Data Report FY 17</oddHeader>
    <oddFooter>&amp;C&amp;14Page &amp;P of &amp;N</oddFooter>
  </headerFooter>
  <rowBreaks count="6" manualBreakCount="6">
    <brk id="42" max="16383" man="1"/>
    <brk id="74" max="16383" man="1"/>
    <brk id="115" max="16383" man="1"/>
    <brk id="148" max="16383" man="1"/>
    <brk id="179" max="16383" man="1"/>
    <brk id="207" max="16383" man="1"/>
  </rowBreaks>
  <ignoredErrors>
    <ignoredError sqref="E73 L35 M159" formula="1"/>
    <ignoredError sqref="I139 J107:O107 L27 N159:P159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J56"/>
  <sheetViews>
    <sheetView topLeftCell="A37" zoomScaleNormal="100" zoomScalePageLayoutView="186" workbookViewId="0">
      <selection activeCell="M56" sqref="M56"/>
    </sheetView>
  </sheetViews>
  <sheetFormatPr defaultColWidth="11.42578125" defaultRowHeight="15" x14ac:dyDescent="0.25"/>
  <sheetData>
    <row r="56" spans="10:10" x14ac:dyDescent="0.25">
      <c r="J56" t="s">
        <v>239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FY25</vt:lpstr>
      <vt:lpstr>FY23</vt:lpstr>
      <vt:lpstr>FY 22</vt:lpstr>
      <vt:lpstr>FY 21</vt:lpstr>
      <vt:lpstr>FY 20</vt:lpstr>
      <vt:lpstr>FY 19</vt:lpstr>
      <vt:lpstr>FY 18</vt:lpstr>
      <vt:lpstr>FY 17</vt:lpstr>
      <vt:lpstr>FY 17 Trend Lines</vt:lpstr>
      <vt:lpstr>FY 16</vt:lpstr>
      <vt:lpstr>FY 15</vt:lpstr>
      <vt:lpstr>FY 14</vt:lpstr>
      <vt:lpstr>Blank</vt:lpstr>
      <vt:lpstr>Guide</vt:lpstr>
      <vt:lpstr>Blank!Print_Area</vt:lpstr>
      <vt:lpstr>'FY 14'!Print_Area</vt:lpstr>
      <vt:lpstr>'FY 17'!Print_Area</vt:lpstr>
      <vt:lpstr>'FY 18'!Print_Area</vt:lpstr>
      <vt:lpstr>Blank!Print_Titles</vt:lpstr>
      <vt:lpstr>'FY 14'!Print_Titles</vt:lpstr>
      <vt:lpstr>'FY 16'!Print_Titles</vt:lpstr>
      <vt:lpstr>'FY 17'!Print_Titles</vt:lpstr>
      <vt:lpstr>'FY 18'!Print_Titles</vt:lpstr>
    </vt:vector>
  </TitlesOfParts>
  <Company>Durham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Wisnowski, Brian</cp:lastModifiedBy>
  <cp:lastPrinted>2018-08-09T21:54:00Z</cp:lastPrinted>
  <dcterms:created xsi:type="dcterms:W3CDTF">2014-05-27T17:47:39Z</dcterms:created>
  <dcterms:modified xsi:type="dcterms:W3CDTF">2025-01-15T20:53:39Z</dcterms:modified>
</cp:coreProperties>
</file>